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0" windowWidth="28440" windowHeight="11430" activeTab="0"/>
  </bookViews>
  <sheets>
    <sheet name="DATI DELLE AP" sheetId="1" r:id="rId1"/>
  </sheets>
  <definedNames>
    <definedName name="_xlnm._FilterDatabase" localSheetId="0" hidden="1">'DATI DELLE AP'!$A$1:$BC$197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128" authorId="0">
      <text>
        <r>
          <rPr>
            <sz val="11"/>
            <color rgb="FF000000"/>
            <rFont val="Calibri"/>
            <family val="0"/>
          </rPr>
          <t xml:space="preserve">Bastiano Deledda:
</t>
        </r>
      </text>
    </comment>
    <comment ref="AE155" authorId="0">
      <text>
        <r>
          <rPr>
            <sz val="11"/>
            <color rgb="FF000000"/>
            <rFont val="Calibri"/>
            <family val="0"/>
          </rPr>
          <t>silos
 -Davide Pelosi</t>
        </r>
      </text>
    </comment>
    <comment ref="AF155" authorId="0">
      <text>
        <r>
          <rPr>
            <sz val="11"/>
            <color rgb="FF000000"/>
            <rFont val="Calibri"/>
            <family val="0"/>
          </rPr>
          <t>silos
 -Davide Pelosi</t>
        </r>
      </text>
    </comment>
  </commentList>
</comments>
</file>

<file path=xl/sharedStrings.xml><?xml version="1.0" encoding="utf-8"?>
<sst xmlns="http://schemas.openxmlformats.org/spreadsheetml/2006/main" count="1993" uniqueCount="522">
  <si>
    <t>CUP</t>
  </si>
  <si>
    <t>Data Rilascio Primo CUP</t>
  </si>
  <si>
    <t>Settore</t>
  </si>
  <si>
    <t>Autorità Portuale</t>
  </si>
  <si>
    <t>WSG84 Lat</t>
  </si>
  <si>
    <t>WSG84 Lon</t>
  </si>
  <si>
    <t>Porto</t>
  </si>
  <si>
    <t>Comune</t>
  </si>
  <si>
    <t>Provincia</t>
  </si>
  <si>
    <t>Nome Intervento</t>
  </si>
  <si>
    <t>Nome Lotto</t>
  </si>
  <si>
    <t>Data Aggiornamento</t>
  </si>
  <si>
    <t>Stato Opencantieri</t>
  </si>
  <si>
    <t>Stato</t>
  </si>
  <si>
    <t>Importo Contrattuale iniziale</t>
  </si>
  <si>
    <t>Importo Oneri iniziali</t>
  </si>
  <si>
    <t>Finanziamento pubblico</t>
  </si>
  <si>
    <t>Finanziamento privato</t>
  </si>
  <si>
    <t>Durata Contrattuale iniziale</t>
  </si>
  <si>
    <t>Importo Varianti</t>
  </si>
  <si>
    <t>Importo Oneri Varianti</t>
  </si>
  <si>
    <t>Importo Varianti Totale</t>
  </si>
  <si>
    <t>Durata Varianti</t>
  </si>
  <si>
    <t>Importo Contrattuale Attuale</t>
  </si>
  <si>
    <t>Importo Oneri attuale</t>
  </si>
  <si>
    <t>Importo SAL</t>
  </si>
  <si>
    <t>Durata contrattuale attuale</t>
  </si>
  <si>
    <t>Durata Sospensioni</t>
  </si>
  <si>
    <t>Giorni lavorati</t>
  </si>
  <si>
    <t>Importo Subappalti</t>
  </si>
  <si>
    <t>Data Inizio Progettazione</t>
  </si>
  <si>
    <t>Data Fine Progettazione</t>
  </si>
  <si>
    <t>Data Inizio Lavori</t>
  </si>
  <si>
    <t>Data Fine Lavori prevista o effettiva</t>
  </si>
  <si>
    <t>Data Inizio Esercizio</t>
  </si>
  <si>
    <t>Data Esercizio Completato</t>
  </si>
  <si>
    <t>NOTE</t>
  </si>
  <si>
    <t>KPI 1 IAL</t>
  </si>
  <si>
    <t>KPI2 IAT</t>
  </si>
  <si>
    <t>KPI4 IIV</t>
  </si>
  <si>
    <t>KPI5 ITV</t>
  </si>
  <si>
    <t>KPI6 ITG</t>
  </si>
  <si>
    <t>KPI7 ISA</t>
  </si>
  <si>
    <t>KPI8 FINANZ PUBBLICO</t>
  </si>
  <si>
    <t>In OpenCantieri</t>
  </si>
  <si>
    <t>J87E06000030005</t>
  </si>
  <si>
    <t>Ancona</t>
  </si>
  <si>
    <t>lavori di adeguamento delle banchine n.13 e n.14 all'ormeggio delle navi traghetto</t>
  </si>
  <si>
    <t>Lotto Costruttivo 2</t>
  </si>
  <si>
    <t>esercizio</t>
  </si>
  <si>
    <t>in esercizio</t>
  </si>
  <si>
    <t>J31G10000000006</t>
  </si>
  <si>
    <t>lavori di 3^ fase delle opere a mare - realizzazione del molo foraneo di sopraflutto e demolizione di parte del Molo Nord</t>
  </si>
  <si>
    <t>Lotto Costruttivo 1</t>
  </si>
  <si>
    <t>nd</t>
  </si>
  <si>
    <t>completamento 4^ fase delle opere a mare - completamento della diga di sottoflutto, realizzazione della banchina laterale, completamento dei piazzali ed escavo dei fondali</t>
  </si>
  <si>
    <t>progettazione</t>
  </si>
  <si>
    <t>J81J05000020005</t>
  </si>
  <si>
    <t>lavori di collegamento ferroviario alla Nuova Darsena</t>
  </si>
  <si>
    <t>lavori di adeguamento del raccordo tra le banchine n.10 e n.11</t>
  </si>
  <si>
    <t>Lotto costruttivo 1</t>
  </si>
  <si>
    <t>lavori di realizzazione della nuova banchina di allestimento navale a servizio della "Fincantieri s.p.a."</t>
  </si>
  <si>
    <t>J81E04000080005</t>
  </si>
  <si>
    <t>progetto "Anks Marina"</t>
  </si>
  <si>
    <t>Lotto Costruttivo 3</t>
  </si>
  <si>
    <t>J36D14000320005</t>
  </si>
  <si>
    <t>lavori di escavo per adeguamento dei fondali antistanti primo tratto nuova banchina rettilinea (B.26) alla quota di P.R.P. (-14 metri sul livello del mare)</t>
  </si>
  <si>
    <t>in progettazione</t>
  </si>
  <si>
    <t>I51G04000000001</t>
  </si>
  <si>
    <t>Augusta</t>
  </si>
  <si>
    <t>Siracusa</t>
  </si>
  <si>
    <t>Realizzazione di un terminal attrezzato per traffici containerizzati nel Porto Commerciale di Augusta</t>
  </si>
  <si>
    <t>lavori</t>
  </si>
  <si>
    <t>in lavorazione</t>
  </si>
  <si>
    <t>SI</t>
  </si>
  <si>
    <t>I51G08000000001</t>
  </si>
  <si>
    <t>Acquisizione aree e realizzazione di piazzali attrezzati nel Porto Commerciale di Augusta</t>
  </si>
  <si>
    <t>lavori e oneri non ancora contrattualizzati</t>
  </si>
  <si>
    <t>I51G13000000001</t>
  </si>
  <si>
    <t>Port Security - Impianto di videosorveglianza e controllo accessi ai varchi delle aree comuni del Porto e della rada di Augusta</t>
  </si>
  <si>
    <t>I51H12000120005</t>
  </si>
  <si>
    <t>Pavimentazione con asfalto bituminoso delle aree comuni del Porto commerciale e relativa segnaletica stradale</t>
  </si>
  <si>
    <t>I54J07000000001</t>
  </si>
  <si>
    <t>Ristrutturazione della Vecchia Darsena Mercantile del Porto di Augusta</t>
  </si>
  <si>
    <t>I54J07000010001</t>
  </si>
  <si>
    <t>Ristrutturazione della Banchina S.Andrea del Porto di Augusta</t>
  </si>
  <si>
    <t>I54J08000010009</t>
  </si>
  <si>
    <t>Adeguamento di un tratto di banchina del Porto Commerciale e attrezzaggio con gru a portale</t>
  </si>
  <si>
    <t>I57E14000080005</t>
  </si>
  <si>
    <t>Rifiorimento e ripristino statico della Diga Foranea del Porto di Augusta mediante la sistemazione di nuovi massi</t>
  </si>
  <si>
    <t>H89H12000150007</t>
  </si>
  <si>
    <t>Brindisi</t>
  </si>
  <si>
    <t>Completamento infrastrutture di security</t>
  </si>
  <si>
    <t>Lavori</t>
  </si>
  <si>
    <t>H81G09000010001</t>
  </si>
  <si>
    <t xml:space="preserve">Completamento della banchina di collegamento tra le esistenti “Punto Franco” e “Montecatini” </t>
  </si>
  <si>
    <t>H86C09000000006</t>
  </si>
  <si>
    <t>Completamento funzionale dello sporgente Est del Molo di Costa Morena – Realizz. pavimentazione.</t>
  </si>
  <si>
    <t>H84D13000010005</t>
  </si>
  <si>
    <t xml:space="preserve">Riqualificazione e ristrutturazione del Lungomare Regina Margherita </t>
  </si>
  <si>
    <t>Avvio gara lavori</t>
  </si>
  <si>
    <t>H81G10000010006</t>
  </si>
  <si>
    <t>Lavori di completamento degli accosti portuali per navi traghetto e ro-ro di S. Apollinare.</t>
  </si>
  <si>
    <t>Progettazione</t>
  </si>
  <si>
    <t>D21B15000000005</t>
  </si>
  <si>
    <t>Cagliari</t>
  </si>
  <si>
    <t>Porto Canale</t>
  </si>
  <si>
    <t>Infrastrutturazione aree retrostanti i nuovi banchinamenti</t>
  </si>
  <si>
    <t>D21E13000120002</t>
  </si>
  <si>
    <t>Porto Storico</t>
  </si>
  <si>
    <t>Stazioni di ricarica per le macchine elettriche</t>
  </si>
  <si>
    <t>D21G04000010001</t>
  </si>
  <si>
    <t>Banchinamento del lato sud ovest - 500 m</t>
  </si>
  <si>
    <t>D21G06000020003</t>
  </si>
  <si>
    <t>Banchinamenti per nuovo Terminal Ro Ro</t>
  </si>
  <si>
    <t>D21H13000550005</t>
  </si>
  <si>
    <t>Gate d'ingresso e locale per il controllo varchi</t>
  </si>
  <si>
    <t>D21J14000000007</t>
  </si>
  <si>
    <t>Distretto della cantierista - opere a mare</t>
  </si>
  <si>
    <t>D22B12000210005</t>
  </si>
  <si>
    <t>Posto di ispezione Frontaliero (P.I.F.)</t>
  </si>
  <si>
    <t>D23E06000030001</t>
  </si>
  <si>
    <t>Passeggiata a mare fronte la M.M. - 2° fase</t>
  </si>
  <si>
    <t>D24E13000070005</t>
  </si>
  <si>
    <t>n.2 capannoni per officina per pronto intervento sui mezzi portuali</t>
  </si>
  <si>
    <t>D24E15000070005</t>
  </si>
  <si>
    <t>Sistemazione water front area Via Roma</t>
  </si>
  <si>
    <t>D24H00000280001</t>
  </si>
  <si>
    <t>Dragaggio canale d'accesso e bacino di evoluzione</t>
  </si>
  <si>
    <t>D24H00000290001</t>
  </si>
  <si>
    <t>Adeguamento tecnico funzionale del Molo Sabaudo</t>
  </si>
  <si>
    <t>D24J09000000008</t>
  </si>
  <si>
    <t>Completamento banchinamento lato sud - 300 m</t>
  </si>
  <si>
    <t>D25I12000140005</t>
  </si>
  <si>
    <t>Completamento passeggiata fronte la M.M.</t>
  </si>
  <si>
    <t>D26D10000100005</t>
  </si>
  <si>
    <t>Prolungamento banchina del lato nord est</t>
  </si>
  <si>
    <t>D26D15001130005</t>
  </si>
  <si>
    <t>Completamento passeggiata a mare - 3° fase</t>
  </si>
  <si>
    <t>D26G14000130005</t>
  </si>
  <si>
    <t>Infrastrutturazione aree G2E - 2° fase</t>
  </si>
  <si>
    <t>D26G14001450005</t>
  </si>
  <si>
    <t>Sistema di raccordo della viabilità con la SS 195</t>
  </si>
  <si>
    <t>D27B13000310005</t>
  </si>
  <si>
    <t>Manutenzione straordinaria dei fondali e delle banchine</t>
  </si>
  <si>
    <t>in esecuzione</t>
  </si>
  <si>
    <t>D27H13001440005</t>
  </si>
  <si>
    <t>Parco nell'area circostante la chiesa di S. Efisio</t>
  </si>
  <si>
    <t>D27H14000030005</t>
  </si>
  <si>
    <t>Manutenzione impianto di smaltimento acque meteoriche</t>
  </si>
  <si>
    <t>D27J06000010001</t>
  </si>
  <si>
    <t>Darsena per i pescherecci</t>
  </si>
  <si>
    <t>D28F13000410005</t>
  </si>
  <si>
    <t>Demolizione fabbricati e bonifica amianto</t>
  </si>
  <si>
    <t>D28F14000940006</t>
  </si>
  <si>
    <t>Riqualificazione capannone Nervi</t>
  </si>
  <si>
    <t>D29J06000120001</t>
  </si>
  <si>
    <t>Infrastrutturazione primaria avamporto est</t>
  </si>
  <si>
    <t>D54J04000010001</t>
  </si>
  <si>
    <t>Porto Foxi</t>
  </si>
  <si>
    <t>Darsena per imbarcazioni di servizio</t>
  </si>
  <si>
    <t>J41D10000040001</t>
  </si>
  <si>
    <t>La Spezia</t>
  </si>
  <si>
    <t>Lavori di banchinamento del primo tratto della marina del Canaletto nella zona di sfocio a mare dei canali nuova e vecchia Dorgia</t>
  </si>
  <si>
    <t>J41G12000000001</t>
  </si>
  <si>
    <t>Appalto integrato per la progettazione definitiva esecutiva ed esecuzione di tutte le opere per la realizzazione di banchina portuale di copertura a giorno su pali sul diffusore Enel</t>
  </si>
  <si>
    <t>J41H14000170005</t>
  </si>
  <si>
    <t>Realizzazione di un capannone in carpenteria metallica presso largo Fiorillo</t>
  </si>
  <si>
    <t>J42J10000270001</t>
  </si>
  <si>
    <t>Dragaggio e bonifica dei fondali esterni al Molo Fornelli est alla quota di - 15 metri</t>
  </si>
  <si>
    <t>J44B13000540005</t>
  </si>
  <si>
    <t>Lavori di consolidamento banchina alla radice del Molo Enel</t>
  </si>
  <si>
    <t>J44H14000000005</t>
  </si>
  <si>
    <t>Santo Stefano di Magra</t>
  </si>
  <si>
    <t>Lavori di riqualificazione locali interni edificio sito in Santo Stefano di Magra</t>
  </si>
  <si>
    <t>J44J09000000005</t>
  </si>
  <si>
    <t>Lavori di ampliamento del Molo Meriperman in consegna alla M.M.I.</t>
  </si>
  <si>
    <t>B41E13000310001</t>
  </si>
  <si>
    <t>Livorno</t>
  </si>
  <si>
    <t>Canale di accesso lato Torre del Marzocco riprofilamento banchina</t>
  </si>
  <si>
    <t>B41G11000050001</t>
  </si>
  <si>
    <t>Canale di accesso costruzione microtunnel di attraversamento</t>
  </si>
  <si>
    <t>Lavorazione</t>
  </si>
  <si>
    <t>B41G97000000007</t>
  </si>
  <si>
    <t>Darsena Toscana costruzione di un cunicolo per gasdotti e oleodotti</t>
  </si>
  <si>
    <t>B41H15000170005</t>
  </si>
  <si>
    <t>Progettazione costruzione e gestione in concessione del nuovo terminal contenitori denominato Piattaforma Europa</t>
  </si>
  <si>
    <t>B42H11000070005</t>
  </si>
  <si>
    <t>Porto industriale calata Bengasi demolizione vecchio muro di banchina in cemento armato</t>
  </si>
  <si>
    <t>B43G13000070001</t>
  </si>
  <si>
    <t>Consolidamento Pontile 12 Darsena Petroli</t>
  </si>
  <si>
    <t>B44J10000020001</t>
  </si>
  <si>
    <t>Riprofilamento banchina Andana Elba</t>
  </si>
  <si>
    <t>B46D15000350005</t>
  </si>
  <si>
    <t>Costruzione di un canale navigabile  tra la Darsena Nuova e la Bellana</t>
  </si>
  <si>
    <t>Lotto costruttivo 2</t>
  </si>
  <si>
    <t>B47D10000050005</t>
  </si>
  <si>
    <t>Straordinaria manutenzione banchina Calata del Magnale</t>
  </si>
  <si>
    <t>J71E13000070001</t>
  </si>
  <si>
    <t>Piombino</t>
  </si>
  <si>
    <t xml:space="preserve">INTERVENTI INFRASTRUTTURALI ANCHE A CARATTERE AMBIENTALE IN ATTUAZIONE DEL NUOVO PRP PER IL RILANCIO DELLA COMPETITIVITA' INDUSTRIALE E PORTUALE DEL PORTO DI PIOMBINO                                      </t>
  </si>
  <si>
    <t>INTERVENTI INFRASTRUTTURALI ANCHE A CARATTERE AMBIENTALE IN ATTUAZIONE DEL NUOVO PRP PER IL RILANCIO DELLA COMPETITIVITA' INDUSTRIALE E PORTUALE DEL PORTO DI PIOMBINO                                      RACCORDO E PROLUNGAMENTO DEL MOLO BATTERIA</t>
  </si>
  <si>
    <t xml:space="preserve">J71H14000160001 </t>
  </si>
  <si>
    <t>INTERVENTI INFRASTRUTTURALI ANCHE A CARATTERE AMBIENTALE IN ATTUAZIONE DEL NUOVO PRP DEL PORTO DI PIOMBINO PER LA REALIZZAZIONE DELLA BANCHINA INTERNA DARSENA NORD E RELATIVO PIAZZALE</t>
  </si>
  <si>
    <t>J76D15000070001</t>
  </si>
  <si>
    <t xml:space="preserve">DRAGAGGIO DELL'AREA ANTISTANTE IL I° BANCHINAMENTO DELLA VARIANTE II DEL PIANO REGOLATORE PORTUALE              II^ FASE           </t>
  </si>
  <si>
    <t>F51B08000600001</t>
  </si>
  <si>
    <t>Salerno</t>
  </si>
  <si>
    <t>SALERNO PORTA OVEST I STRALCIO LOTTO 1</t>
  </si>
  <si>
    <t>F51B08000620001</t>
  </si>
  <si>
    <t>SALERNO PORTA OVEST I STRALCIO LOTTO 2</t>
  </si>
  <si>
    <t>-</t>
  </si>
  <si>
    <t>F51E12000050006</t>
  </si>
  <si>
    <t>BANCHINA DI PONENTE E TESTATA DEL MOLO TRAPEZIO: ADEGUAMENTO FUNZIONALE E CONSOLIDAMENTO</t>
  </si>
  <si>
    <t>Esercizio</t>
  </si>
  <si>
    <t>F51G06000010001</t>
  </si>
  <si>
    <t>MOLO TRAPEZIO, LATO LEVANTE, E MOLO MANFREDI, TESTATA: CONSOLIDAMENTO DEI CIGLI BANCHINA</t>
  </si>
  <si>
    <t>F51G07000010001</t>
  </si>
  <si>
    <t>MOLO DI PONENTE: REALIZZAZIONE DI UN SISTEMA DI ACCOSTO E ORMEGGIO (BRICCOLE) PER L'ATTRACCO DI NAVI RO-RO PAX AL MOLO DI SOTTOFLUTTO</t>
  </si>
  <si>
    <t>F51G09000010001</t>
  </si>
  <si>
    <t>PROLUNGAMENTO DEL MOLO MANFREDI: REALIZZAZIONE DI UN NUOVO MOLO, M 180 PER M 35</t>
  </si>
  <si>
    <t>F51G11000060001</t>
  </si>
  <si>
    <t>REALIZZAZIONE DI UNA SCOGLIERA DI PROTEZIONE DELLO SPECCHIO ACQUEO DI SANTA TERESA</t>
  </si>
  <si>
    <t>F51H13001150001</t>
  </si>
  <si>
    <t>PORTO MASUCCUIO SALERNITANO: MODIFICA DELL'IMBOCCATURA MEDIANTE LA REALIZZAZIONE DI UN PENNELLO FRANGIFLUTTI</t>
  </si>
  <si>
    <t>F51H15000000001</t>
  </si>
  <si>
    <t>MOLO MANFREDI: VIABILITÀ E DELIMITAZIONE AREA STERILE PER L'ORMEGGIO DELLE NAVI DA CROCIERA. LAVORI URGENTI</t>
  </si>
  <si>
    <t>F51J13000030001</t>
  </si>
  <si>
    <t>BANCHINA LIGEA: ADEGUAMENTO FUNZIONALE E CONSOLIDAMENTO, II STRALCIO</t>
  </si>
  <si>
    <t>F52B10000040001</t>
  </si>
  <si>
    <t>BANCHINA LIGEA: REALIZZAZIONE DI UN CAPANNONE AD UN SOL PIANO, DA ADIBIRE A OFFICINA MECCANICA PER LA RIPARAZIONE DI MEZZI PORTUALI</t>
  </si>
  <si>
    <t>F53F11000080001</t>
  </si>
  <si>
    <t>ADEGUAMENTO E POTENZIAMENTO DEGLI IMPIANTI DI ILLUMINAZIONE</t>
  </si>
  <si>
    <t>F54B15000250001</t>
  </si>
  <si>
    <t>BANCHINA LIGEA, FABBRICATO SERVIZI: NUOVA REALIZZAZIONE</t>
  </si>
  <si>
    <t>F54G05000030001</t>
  </si>
  <si>
    <t>REALIZZAZIONE DI UN IMPIANTO IDRICO, IDROPOTABILE ED ANTINCENDIO.GLI IMPIANTI IDROPOTABILE E ANTINCENDIO SONO COSTITUITI DA DUE RETI DISTINTE ENTRAMBE MAGLIATE ASSERVENTI TUTTO IL COMPENDIO DEL PORTO COMPRESO IL MOLO MANFREDI</t>
  </si>
  <si>
    <t>F54J10000000001</t>
  </si>
  <si>
    <t>BACINO DI SANTA TERESA: RICONFIGURAZIONE E RIALLINEAMENTO DELLA SCOGLIERA AL FINE DI MIGLIORARE L'AGITAZIONE ONDOSA</t>
  </si>
  <si>
    <t>F56D15000110001</t>
  </si>
  <si>
    <t>STAZIONE MARITTIMA, MOLO MANFREDI: REALIZZAZIONE DI UN FINGER</t>
  </si>
  <si>
    <t>F57D06000030001</t>
  </si>
  <si>
    <t>MOLO TRAPEZIO, CIGLI BANCHINA, E MOLO PONENTE, RADICE: RIPRISTINO DELLA PAVIMENTAZIONE BITUMINOSA</t>
  </si>
  <si>
    <t>F57D12000000006</t>
  </si>
  <si>
    <t>ESCAVO (DRAGAGGIO) DEI FONDALI DELLE DARSENE, BACINO DI EVOLUZIONE E PASSO MARITTIMO DI ACCESSO AL PORTO</t>
  </si>
  <si>
    <t>Fase I</t>
  </si>
  <si>
    <t>PORTO COMMERCIALE DI SALERNO - DARSENE, BACINO DI EVOLUZIONE E PASSO MARITTIMO DI ACCESSO*PORTO COMMERCIALE DI SALERNO*LAVORI DI ESCAVO (DRAGAGGIO) DEI FONDALI DELLE DARSENE, BACINO DI EVOLUZIONE E PASSO MARITTIMO DI ACCESSO DEL PORTO COMMERCIALE DI SALERNO</t>
  </si>
  <si>
    <t>Fase II</t>
  </si>
  <si>
    <t>F57E15000000001</t>
  </si>
  <si>
    <t>MOLO MANFREDI: ESCAVO DEL FONDALE MARINO DELLO SPECCHIO ACQUEO ANTISTANTE Il MOLO MANFREDI</t>
  </si>
  <si>
    <t>F59F11000100001</t>
  </si>
  <si>
    <t>PROLUNGAMENTO DEL MOLO SOPRAFLUTTO E RESECAZIONE DEL TRATTO FINALE DEL MOLO DI SOTTOFLUTTO</t>
  </si>
  <si>
    <t>progettazione/lavori</t>
  </si>
  <si>
    <t>Progettazione/Lavori</t>
  </si>
  <si>
    <t>D11E05000000008</t>
  </si>
  <si>
    <t>Taranto</t>
  </si>
  <si>
    <t>Piastra logistica integrata al sistema intermodale del corridoio adriatico</t>
  </si>
  <si>
    <t>Piastra logistica</t>
  </si>
  <si>
    <t xml:space="preserve">D51G08000020001 </t>
  </si>
  <si>
    <t>Edifici per la logistica dei servizi tecnico-nautici in area retrostante la darsena servizi</t>
  </si>
  <si>
    <t>D51G08000040001</t>
  </si>
  <si>
    <t>Molo San Cataldo: centro servizi polivalente per usi portuali</t>
  </si>
  <si>
    <t xml:space="preserve"> </t>
  </si>
  <si>
    <t>D51G08000060001</t>
  </si>
  <si>
    <t>Raccolta collettamento e trattamento acque di pioggia nelle aree comuni</t>
  </si>
  <si>
    <t>D54H13000820005</t>
  </si>
  <si>
    <t xml:space="preserve">Riqualificazione della banchina e dei piazziali in radice del molo polisettoriale </t>
  </si>
  <si>
    <t>D54J08000020001</t>
  </si>
  <si>
    <t>Molo San Cataldo: rettifica e allargamento della banchina di levante e preventiva bonifica dei fondali</t>
  </si>
  <si>
    <t>D54J08000030005</t>
  </si>
  <si>
    <t>Molo San Cataldo: ricostruzione dell'impalcato in cemento armato precompresso della testata inagibile</t>
  </si>
  <si>
    <t>D54J12000000003</t>
  </si>
  <si>
    <t>Molo Polisettoriale: riqualificazione,banchina di ormeggio:ammordenamento. Progettazione esecutiva ed esecuzione dei lavori</t>
  </si>
  <si>
    <t>1946-07-01 00:00:00</t>
  </si>
  <si>
    <t>D57G13000040003</t>
  </si>
  <si>
    <t>Molo Polisettoriale: interventi per il dragaggio di 2,3 mmc. di sedimenti. V Sporgente: realizzazione di un primo lotto della cassa di colmata funzionale all'ampliamento</t>
  </si>
  <si>
    <t>1945-06-10 00:00:00</t>
  </si>
  <si>
    <t>C21B03000060001</t>
  </si>
  <si>
    <t>Trieste</t>
  </si>
  <si>
    <t>Realizzazione della Piattaforma Logistica da prevedersi tra lo Scalo Legnami e l'ex Italsider, comprese le opere di infrastrutturazione stradale e ferroviaria - Intervento di 1° stralcio funzionale</t>
  </si>
  <si>
    <t>C91G10000000005</t>
  </si>
  <si>
    <t>Lavori di realizzazione di un collettore fognario al Punto Franco Nuovo del Porto di Trieste</t>
  </si>
  <si>
    <t>C97E13000340005</t>
  </si>
  <si>
    <t>Lavori di manutenzione programmata del raccordo ferroviario del Punto Franco Nuovo nel Porto di Trieste - II lotto/II stralcio.</t>
  </si>
  <si>
    <t>C97E13000390005</t>
  </si>
  <si>
    <t>Ristrutturazione del piazzale Ocean presso le aree ex Arsenale del Porto di Trieste. Lavori di straordinaria manutenzione della banchina.</t>
  </si>
  <si>
    <t>C97E13000410005</t>
  </si>
  <si>
    <t>Lavori di realizzazione delle nuove vie di corsa ed opere accessorie a servizio delle gru transtainer operanti sulla catasta 500 presso il Molo VII del Porto di Trieste</t>
  </si>
  <si>
    <t>C94B14000120005</t>
  </si>
  <si>
    <t>Lavori di adeguamento strutturale (upgrading/revamping) di due gru di banchina Paceco Reggiane (anno 1994) al Molo VII del Porto di Trieste.</t>
  </si>
  <si>
    <t>C97E14000190005</t>
  </si>
  <si>
    <t xml:space="preserve">Lavori di bonifica da amianto in Punto Franco Scalo Legnami del Porto di Trieste - Sostituzione delle tettoie N. 19, 22-22 bis-30, 23-29, 27, 34-35, 37, 39-39 bis, 40-40 bis, 42, 41 bis-43-44-45-46 </t>
  </si>
  <si>
    <t>C94H14000360005</t>
  </si>
  <si>
    <t>Intervento di razionalizzazione per l'accesso ferroviario al Molo VI del Punto Franco Nuovo del Porto di Trieste</t>
  </si>
  <si>
    <t>C99GI1500015005</t>
  </si>
  <si>
    <t>Rimozione cumuli di terreno presenti nell’area in concessione alla Piattaforma Logistica di Trieste.</t>
  </si>
  <si>
    <t>E66H14000030001</t>
  </si>
  <si>
    <t>Catania</t>
  </si>
  <si>
    <t>lavori realizzazione impianti idrici, fognari, antincendio</t>
  </si>
  <si>
    <t>lavorazione</t>
  </si>
  <si>
    <t>D86J13000160001</t>
  </si>
  <si>
    <t>M. di Carrara</t>
  </si>
  <si>
    <t>Carrara</t>
  </si>
  <si>
    <t>Massa Carrara</t>
  </si>
  <si>
    <t>LAVORI DI COMPLETAMENTO DEL DRAGAGGIO DEL BACINO PORTUALE E GESTIONE DELLA RELATIVA SABBIA DRAGATA</t>
  </si>
  <si>
    <t>Lotto Costruttivo 4 e ultimo</t>
  </si>
  <si>
    <t>D31B03000000001</t>
  </si>
  <si>
    <t>LAVORI DI COMPLETAMENTO DELL'ADEGUAMENTO TECNICO - FUNZIONALE DEL MOLO DI LEVANTE DEL PORTO DI MARINA DI CARRARA</t>
  </si>
  <si>
    <t>Lotto Costruttivo 2 e ultimo</t>
  </si>
  <si>
    <t>C64J04000000008</t>
  </si>
  <si>
    <t>Ravenna</t>
  </si>
  <si>
    <t>Approfondimento del Canale Piombone: - 1° lotto sistemazione funzionale del canale Piombone in prima attuazione al P.R.P. - 2° lotto Risanamento della Pialassa Piombone e separazione fisica delle zone vallive dalle zone portuali mediante arginatura artificiale</t>
  </si>
  <si>
    <t>IN LAVORAZIONE</t>
  </si>
  <si>
    <t>I lavori sono parzialmente sospesi per cui la data di ultimazione non è realistica</t>
  </si>
  <si>
    <t>C66C11000020001</t>
  </si>
  <si>
    <t>Pontili di attracco dei mezzi per servizi nautici</t>
  </si>
  <si>
    <t>Consegna parziale dei lavori effettuata in data 16.06.2016.
Prevista consegna definitiva entro luglio 2016</t>
  </si>
  <si>
    <t>C66J13000660006</t>
  </si>
  <si>
    <t>Completamento banchine in sinistra Canale Baiona - 1° stralcio</t>
  </si>
  <si>
    <t>IN PROGETTAZIONE</t>
  </si>
  <si>
    <t>Prevista consegna lavori entro luglio 2016</t>
  </si>
  <si>
    <t>C66D15001530005</t>
  </si>
  <si>
    <t>Ripristino della protezione di sponda in sinistra Candiano tra zona San Vitale e via Cimitero</t>
  </si>
  <si>
    <t>Gara di prossima aggiudicazione.
Prevista consegna lavori entro settembre 2016</t>
  </si>
  <si>
    <t>C67E15000320005</t>
  </si>
  <si>
    <t>Accordo quadro per la gestione e la manutenzione ordinaria e straordinaria degli impianti di illuminazione, degli impianti elettrici, apparati elettronici e di trasmissione dati sul porto di Ravenna</t>
  </si>
  <si>
    <t>F53I11000020005</t>
  </si>
  <si>
    <t>Gioia Tauro</t>
  </si>
  <si>
    <t>Reggio Calabria</t>
  </si>
  <si>
    <t>Adeguamento strutturale banchine e realizzazione terza via di Corsa tratto”D” banchina di levante</t>
  </si>
  <si>
    <t>Unico lotto</t>
  </si>
  <si>
    <t>F52B11000270001</t>
  </si>
  <si>
    <t>Realizzazione capannone industriale nella Zona Franca del porto di Gioia Tauro ex Isotta Fraschini</t>
  </si>
  <si>
    <t>F51B13000280002</t>
  </si>
  <si>
    <t>Completamento e sviluppo del comparto Nord - Viabilità</t>
  </si>
  <si>
    <t xml:space="preserve">F54G09000060001 </t>
  </si>
  <si>
    <t>Adeguamento del tratto di banchina Nord esistente ai nuovi tratti di banchina Nord in fase di esecuzione e relativo approfondimento dei fondali</t>
  </si>
  <si>
    <t>F54J12000010001</t>
  </si>
  <si>
    <t>Nuovo Terminal Intermodale del porto di Gioia Tauro</t>
  </si>
  <si>
    <t>F54C13000030001</t>
  </si>
  <si>
    <t>Realizzazione di una piattaforma integrata di servizi mirata a offrire agli utenti e agli operatori del porto di Gioia Tauro una vasta gamma di servizi informativi ad alto valore aggiunto</t>
  </si>
  <si>
    <t>B21J14000000005</t>
  </si>
  <si>
    <t>Olbia golfo aranci porto torres</t>
  </si>
  <si>
    <t>Porto Torres</t>
  </si>
  <si>
    <t>SASSARI</t>
  </si>
  <si>
    <t>COSTRUZIONE DELLA DARSENA PER LA PESCA -  1°LOTTO</t>
  </si>
  <si>
    <t>B27E14000050001</t>
  </si>
  <si>
    <t>Adeguamento banchina alti fondali 1°  stralcio</t>
  </si>
  <si>
    <t>B24E14001480002</t>
  </si>
  <si>
    <t>Sassari</t>
  </si>
  <si>
    <t>Realizzazione nel porto di Porto Torres dello scalo di alaggio e varo delle imbarcazioni con gru all'interno del polo nautico del nord-ovest della Sardegna</t>
  </si>
  <si>
    <t xml:space="preserve">B24B14000280005 </t>
  </si>
  <si>
    <t>Miglioramento dell’accessibilità del Porto commerciale di Porto Torres”. Progetto cofinanziato dall’Unione Europea. P.O.R. FESR Sardegna 2007-2013 – Obiettivo Operativo 5.1.1 – linea di attività 5.1.1.A. TRA</t>
  </si>
  <si>
    <t>B21G11000040001</t>
  </si>
  <si>
    <t>Programmazione Attuativa Regionale FSC 2007/2013. Linea di azione 6.1.2. A.1 Adeguamento delle infrastrutture portuali di rilievo nazionale. Hub portuale di Porto Torres.
Convenzione 9 del 7.11.2013</t>
  </si>
  <si>
    <t>B24B1400027005</t>
  </si>
  <si>
    <t>Lavori di manutenzione straordinaria e recupero degli impianti di illuminazione del porto di Porto Torres.</t>
  </si>
  <si>
    <t>B71B11001390005</t>
  </si>
  <si>
    <t>Olbia</t>
  </si>
  <si>
    <t>Olbia Tempio</t>
  </si>
  <si>
    <t>Opere per la realizzazione dell’impianto antincendio e messa a norma dell’impianto idrico</t>
  </si>
  <si>
    <t>Riqualificazione del viale di ingresso e della viabilità di accesso ai varchi di sicurezza e delimitazione dei nuovi moli 1 e 2bis  - nel Porto di Olbia Isola Bianca</t>
  </si>
  <si>
    <t>B77E14000110005</t>
  </si>
  <si>
    <t>Manutenzione straordinaria molo vecchio e aree limitrofe</t>
  </si>
  <si>
    <t>B13I11000450005</t>
  </si>
  <si>
    <t>Golfo Aranci</t>
  </si>
  <si>
    <t>Olbia-Tempio</t>
  </si>
  <si>
    <t>Lavori di manutenzione straordinaria e adeguamento locali stazione marittima (installazione radiogeno)</t>
  </si>
  <si>
    <t>Lotto Unico</t>
  </si>
  <si>
    <t>C41G07000000001</t>
  </si>
  <si>
    <t>porto</t>
  </si>
  <si>
    <t>Savona</t>
  </si>
  <si>
    <t>Vado Ligure</t>
  </si>
  <si>
    <t>COSTRUZIONE DI UN'ESPANSIONE A MARE DI 250.000 MQ PER NUOVO TERMINAL CONTENITORI E RIASSETTO DELL'ATTUALE TERMINAL RINFUSE E DEI DUE PONTILI PER LO SBARCO DI PRODOTTI PETROLIFERI</t>
  </si>
  <si>
    <t>C56C09000010006</t>
  </si>
  <si>
    <t>AREA EX ITALSIDER - NUOVA VIABILITÀ DEL PORTO DI SAVONA, AMPLIAMENTO TERRAPIENO, ASFALTATURE</t>
  </si>
  <si>
    <t>terminati</t>
  </si>
  <si>
    <t>1,750.000,00</t>
  </si>
  <si>
    <t>C41G10000020005</t>
  </si>
  <si>
    <t>PIATTAFORMA MULTIPURPOSE: REALIZZAZIONE DEL COLLEGAMENTO STRADALE CON VIABILITÀ RETROPORTUALE, CON CORSIE SEPARATE PER I FLUSSI DA PER NUOVO VARCO DOGANALE E DA PER PIASTRA DI SCAMBIO FERROVIARIO</t>
  </si>
  <si>
    <t>C54B14000240005</t>
  </si>
  <si>
    <t>RISISTEMAZIONE DEL CAPANNONE T3</t>
  </si>
  <si>
    <t>C57E14000040005</t>
  </si>
  <si>
    <t>LAVORI DI MANUTENZIONE STRAORDINARIA AL VIADOTTO FERROVIARIO SUL BINARIO DI COLLEGAmENTO TRA IL BACINO DI SAVONA E PARCO DORIA</t>
  </si>
  <si>
    <t>C41H14000020005</t>
  </si>
  <si>
    <t>COSTRUZIONE DI UN UNICO VARCO DOGANALE PER I TERMINAL ESISTENTI E PER LA PIATTAFORMA MULTIPURPOSE IN COSTRUZIONE E REALIZZAZIONE DELLA VIABILITÀ RETRO PORTUALE DI COLLEGAMENTO</t>
  </si>
  <si>
    <t>C41J14000000005</t>
  </si>
  <si>
    <t>IMPIANTO DI ALIMENTAZIONE ELETTRICA A 20 KV, CABINA ELETTRICA AT/MT E I RELATIVI IMPIANTI, PER ALIMENTARE LA PIATTAFORMA MULTIPURPOSE E LE ALTRE ATTIVITÀ PORTUALI</t>
  </si>
  <si>
    <t>C44D14000000005</t>
  </si>
  <si>
    <t>DIGA FORANEA: SPOSTAMENTO VERSO MARE E ALLUNGAMENTO DELLATTUALE DIGA PER DARE MAGGIORE PROTEZIONE ALLA PIATTAFORMA MULTIPURPOSE</t>
  </si>
  <si>
    <t>C41H15000090005</t>
  </si>
  <si>
    <t>RIASSETTO DEL RETROPORTO DI VADO LIGURE - REALIZZAZIONE NUOVA VIABILITÀ COMUNALE</t>
  </si>
  <si>
    <t>C54B15000180005</t>
  </si>
  <si>
    <t>RISAGOMATURA E RIFIORIMENTO TERRAPIENO ZINOLA E SISTEMAZIONE ARENILI E LOCALI SERVIZI</t>
  </si>
  <si>
    <t>I61G01000010003</t>
  </si>
  <si>
    <t>Napoli</t>
  </si>
  <si>
    <t xml:space="preserve">Adeguamento della Darsena di Levante a Terminal Contenitore Mediante colmata e conseguenti opere di collegamento - 2° stralcio struttura cassa colmata e banchina </t>
  </si>
  <si>
    <t>In Lavorazione</t>
  </si>
  <si>
    <t>I65C12000860006</t>
  </si>
  <si>
    <t>Allestimento di spazi in area portuale da adibire a cantiere di restauro</t>
  </si>
  <si>
    <t>I69G12000080006</t>
  </si>
  <si>
    <t>Bonifica superficiale da ordigni bellici inesplosi presenti sui fondali interessati dall'escavo</t>
  </si>
  <si>
    <t>In Esercizio</t>
  </si>
  <si>
    <t>I64J09000010001</t>
  </si>
  <si>
    <t>Lavori di Consolidamento del molo Immacolatella Vecchia – lato Piliero</t>
  </si>
  <si>
    <t>I64J07000030001</t>
  </si>
  <si>
    <t>Risanamento del Bacino di Carenaggio n. 2 – Adeguamento impianto di pompaggio Bacini nn. 1 e 2 e Risanamento paramenti banchina adiacente Bacino n. 2</t>
  </si>
  <si>
    <t>I61H15000010005</t>
  </si>
  <si>
    <t>Escavo dei fondali dell'area portuale di Napoli con deposito dei materiali dragati in cassa di colmata della Darsena di Levante</t>
  </si>
  <si>
    <t>I64J04000000001</t>
  </si>
  <si>
    <t>Consolidamento e rafforzamento banchina di levante Molo Carmine</t>
  </si>
  <si>
    <t>contratto originario</t>
  </si>
  <si>
    <t>completamento</t>
  </si>
  <si>
    <t>26/11/203</t>
  </si>
  <si>
    <t>I67D12000000006</t>
  </si>
  <si>
    <t>Completamento della rete fognaria portuale</t>
  </si>
  <si>
    <t>secondo lotto</t>
  </si>
  <si>
    <t>I64B12000140006</t>
  </si>
  <si>
    <t>Riassetto dei collegamenti stradali e ferroviari interni</t>
  </si>
  <si>
    <t>F46D14000240005</t>
  </si>
  <si>
    <t>Venezia</t>
  </si>
  <si>
    <t>LAVORI DI ESECUZIONE DELLA ROTATORIA TRA VIA DELLA MECCANICA E VIA DELL'ELETTRONICA</t>
  </si>
  <si>
    <t>CONCLUSO</t>
  </si>
  <si>
    <t>F74B15000440005</t>
  </si>
  <si>
    <t>LAVORI DI ADEGUAMENTO RETE DRENANTE LE ACQUE METEORICHE DI DILAVAMENTO DEL PIAZZALE ANTISTANTE IL TERMINAL ISONZO</t>
  </si>
  <si>
    <t>FASE DI COLLAUDO</t>
  </si>
  <si>
    <t>F74E15000010005</t>
  </si>
  <si>
    <t>1905-07-03 00:00:00</t>
  </si>
  <si>
    <t>Marghera</t>
  </si>
  <si>
    <t>ESCAVO MANUTENTORIO A QUOTA PIANO REGOLATORE PORTUALE DAL CURVONE SAN LEONARDO A MARGHERA</t>
  </si>
  <si>
    <t>COLLAUDO</t>
  </si>
  <si>
    <t>F71H13001150005</t>
  </si>
  <si>
    <t>LAVORI RELATIVI ALLA RISTRUTTURAZIONE DEL FABBRICATO  365 A PORTO MARGHERA</t>
  </si>
  <si>
    <t>FASE INIZIALE</t>
  </si>
  <si>
    <t>F74B15000550005</t>
  </si>
  <si>
    <t xml:space="preserve">PROGETTAZIONE ESECUTIVA ED ESECUZIONE DEI LAVORI RELATIVI ALLE STRUTTURE DI MARGINAMENTO PREVISTI PER LA MESSA IN SICUREZZA DI UN TRATTO DELLA SPONDA OVEST DEL CANALE INDUSTRIALE OVEST A PORTO MARGHERA </t>
  </si>
  <si>
    <t>IN CORSO DI AGGIUDICAZIONE</t>
  </si>
  <si>
    <t>F71H15000080004</t>
  </si>
  <si>
    <t xml:space="preserve">LAVORI DI ADEGUAMENTO E RIPRISTINO DELLA BANCHINA EMILIA NEL PORTO COMMERCIALE DI VENEZIA – SEZIONE DI MARGHERA – MOLO B </t>
  </si>
  <si>
    <t>AGGIUDICAZIONE PROVVISORIA</t>
  </si>
  <si>
    <t>F21G02000000006</t>
  </si>
  <si>
    <t>Messina</t>
  </si>
  <si>
    <t>Loc. Giammoro</t>
  </si>
  <si>
    <t>Pace del Mela</t>
  </si>
  <si>
    <t>Realizzazione di un pontile commerciale</t>
  </si>
  <si>
    <t xml:space="preserve">unico lotto costruttivo </t>
  </si>
  <si>
    <t>non ancora richiesto</t>
  </si>
  <si>
    <t>Realizzazione nuovo terminal crociere</t>
  </si>
  <si>
    <t>Riqualificazione aree demaniali rada S. Francesco</t>
  </si>
  <si>
    <t>Realizzazione scivolo presso Molo Norimberga e integrazione piazzali</t>
  </si>
  <si>
    <t>F42C08000260001</t>
  </si>
  <si>
    <t>Ristrutturazione padiglioni e portale ex quartiere fieristico</t>
  </si>
  <si>
    <t>F41G08000000008</t>
  </si>
  <si>
    <t xml:space="preserve">Realizzazione costruzione piattaforma logistica Tremestieri </t>
  </si>
  <si>
    <t>lotto costruttivo n. 1</t>
  </si>
  <si>
    <t>F49F03000000001</t>
  </si>
  <si>
    <t>Realizzazione completamento pavimentazione Molo Norimberga</t>
  </si>
  <si>
    <t>Realizzazione banchina terzo scivolo porto di Tremestieri</t>
  </si>
  <si>
    <t>Lavori di mitigazione insabbiamento porto Tremestieri</t>
  </si>
  <si>
    <t>F43J06000120005</t>
  </si>
  <si>
    <t>Ristrutturazione "teatro in fiera" da adibire a sede A.P.</t>
  </si>
  <si>
    <t>Lavori adeguamento ed ampliamento terminal logistico Molo Norimberga</t>
  </si>
  <si>
    <t>Realizzazione protezione aree demaniali foce torrente Annunziata</t>
  </si>
  <si>
    <t>F44J0800000001</t>
  </si>
  <si>
    <t>Lavori di rettifica della banchina I° Settembre</t>
  </si>
  <si>
    <t>Lavori di rettifica banchina Marconi, Peloro e Rizzo</t>
  </si>
  <si>
    <t>Lavori di adeguamento della banchina Vespri e Colapesce</t>
  </si>
  <si>
    <t>F96C08000010001</t>
  </si>
  <si>
    <t>Messina e Milazzo</t>
  </si>
  <si>
    <t xml:space="preserve">Lavori di completamento degli impianti di security porti di Messina e Milazzo </t>
  </si>
  <si>
    <t>F56C08000000001</t>
  </si>
  <si>
    <t>Milazzo</t>
  </si>
  <si>
    <t>Sistemazione logistica aree commerciali del porto di Milazzo</t>
  </si>
  <si>
    <t xml:space="preserve">Porto </t>
  </si>
  <si>
    <t>Lavori per l'allargamento del Molo Foraneo del porto di Milazzo</t>
  </si>
  <si>
    <t xml:space="preserve">Progettazione </t>
  </si>
  <si>
    <t>F51G03000000001</t>
  </si>
  <si>
    <t>Lavori di dragaggio dei fondali del porto di Milazzo</t>
  </si>
  <si>
    <t>F51G03000010002</t>
  </si>
  <si>
    <t>Realizzazione di nuove banchine nel porto di Milazzo</t>
  </si>
  <si>
    <t>Realizzazione pontile esterno al molo foraneo per navi da crociera</t>
  </si>
  <si>
    <t>Lavori per il completamento delle opere di accosto</t>
  </si>
  <si>
    <t>Realizzazione della strada di collegamento asse viario-porto</t>
  </si>
  <si>
    <t>Lavori di allargamento del Pontile Eolie</t>
  </si>
  <si>
    <t>J96C12000000005</t>
  </si>
  <si>
    <t>Civitavecchia, Fiumicino e Gaeta</t>
  </si>
  <si>
    <t>Gaeta</t>
  </si>
  <si>
    <t>Latina</t>
  </si>
  <si>
    <t>Opere di completamento Porto Commerciale di Gaeta</t>
  </si>
  <si>
    <t>I74H13000020005</t>
  </si>
  <si>
    <t>Palermo</t>
  </si>
  <si>
    <t>AVANZAMENTO DELLE BANCHINE LATITANTI IL BACINO DA 400.000 TPL - OPERE COMPLEMENTARI</t>
  </si>
  <si>
    <t>I74J05000020005</t>
  </si>
  <si>
    <t>AVANZAMENTO BANCHINE LATISTANTI IL BACINO DI CARENAGGIO DA 400.000 TPL</t>
  </si>
  <si>
    <t>I79F11000020005</t>
  </si>
  <si>
    <t>BACINO DI CARENAGGIO DA 150.000 TPL: LAVORI DI CONSOLIDAMENTO E MESSA IN SICUREZZA</t>
  </si>
  <si>
    <t>F34G09000020001</t>
  </si>
  <si>
    <t>Manfredonia</t>
  </si>
  <si>
    <t>Commerciale</t>
  </si>
  <si>
    <t>Foggia</t>
  </si>
  <si>
    <t>Lavori di Manutenzione Straordinaria della pavimentazione delle banchine, della rete di smaltimento delle acque meteoriche e nere e riordino dei sottoservizi nel Porto Commerciale di Manfredonia</t>
  </si>
  <si>
    <t>B31G12000060005</t>
  </si>
  <si>
    <t>Genova</t>
  </si>
  <si>
    <t>Opere propedeutiche al nuovo centro polifunzionale di ponte Parodi</t>
  </si>
  <si>
    <t>In lavorazione</t>
  </si>
  <si>
    <t>B36J09000640005</t>
  </si>
  <si>
    <t>Nuovo capannone modulare nelle arre di levante - Impianti tecnoligici strettamente necessari alla funzionalità delle singole unità insediative</t>
  </si>
  <si>
    <t>B39F10000030005</t>
  </si>
  <si>
    <t>Messa in sicurezza ambientale del bacino di carenaggio 1</t>
  </si>
  <si>
    <t>B36J06000060008</t>
  </si>
  <si>
    <t>Relativo al completamento del capannone modulare nelle aree di levante.</t>
  </si>
  <si>
    <t>B31G07000210007</t>
  </si>
  <si>
    <t>Fornitura di energia elettrica alle navi tramite collegamento alla rete di terra- prima fase riparazioni navali.</t>
  </si>
  <si>
    <t>B33I09000020006</t>
  </si>
  <si>
    <t>Ripristino mantellata esterna Diga Foranea e Molo Duca di Galliera</t>
  </si>
  <si>
    <t>B33I09000000006</t>
  </si>
  <si>
    <t>Riqualificazione compendio da Calata Bengasi a Calata Inglese</t>
  </si>
  <si>
    <t>B34J06000010008</t>
  </si>
  <si>
    <t>Ampliamento Terminal Contenitori Ponti Ronco e Canepa</t>
  </si>
  <si>
    <t>45.499.460,13</t>
  </si>
  <si>
    <t>1.279.483,99</t>
  </si>
  <si>
    <t>36.046.634,30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</si>
</sst>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&quot;-&quot;mm&quot;-&quot;dd&quot; &quot;hh&quot;:&quot;mm&quot;:&quot;ss"/>
    <numFmt numFmtId="165" formatCode="###0.00"/>
    <numFmt numFmtId="166" formatCode="m/d/yyyy\ h:mm:ss"/>
    <numFmt numFmtId="167" formatCode="yyyy&quot;-&quot;mm&quot;-&quot;dd&quot;T&quot;hh&quot;:&quot;mm&quot;:&quot;ss"/>
  </numFmts>
  <fonts count="45">
    <font>
      <sz val="11"/>
      <color rgb="FF000000"/>
      <name val="Calibri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i/>
      <sz val="8"/>
      <color rgb="FF000000"/>
      <name val="Arial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42" fillId="33" borderId="0" xfId="0" applyFont="1" applyFill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/>
    </xf>
    <xf numFmtId="2" fontId="42" fillId="33" borderId="0" xfId="0" applyNumberFormat="1" applyFont="1" applyFill="1" applyBorder="1" applyAlignment="1">
      <alignment horizontal="left" vertical="center" wrapText="1"/>
    </xf>
    <xf numFmtId="2" fontId="42" fillId="33" borderId="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164" fontId="42" fillId="34" borderId="0" xfId="0" applyNumberFormat="1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 wrapText="1"/>
    </xf>
    <xf numFmtId="164" fontId="42" fillId="34" borderId="0" xfId="0" applyNumberFormat="1" applyFont="1" applyFill="1" applyAlignment="1">
      <alignment horizontal="center" vertical="center"/>
    </xf>
    <xf numFmtId="165" fontId="42" fillId="34" borderId="0" xfId="0" applyNumberFormat="1" applyFont="1" applyFill="1" applyAlignment="1">
      <alignment horizontal="left" vertical="center"/>
    </xf>
    <xf numFmtId="165" fontId="42" fillId="34" borderId="0" xfId="0" applyNumberFormat="1" applyFont="1" applyFill="1" applyAlignment="1">
      <alignment horizontal="left" vertical="center"/>
    </xf>
    <xf numFmtId="2" fontId="42" fillId="34" borderId="0" xfId="0" applyNumberFormat="1" applyFont="1" applyFill="1" applyAlignment="1">
      <alignment horizontal="right" vertical="center"/>
    </xf>
    <xf numFmtId="1" fontId="42" fillId="34" borderId="0" xfId="0" applyNumberFormat="1" applyFont="1" applyFill="1" applyAlignment="1">
      <alignment horizontal="right" vertical="center"/>
    </xf>
    <xf numFmtId="0" fontId="42" fillId="34" borderId="0" xfId="0" applyFont="1" applyFill="1" applyAlignment="1">
      <alignment horizontal="right" vertical="center"/>
    </xf>
    <xf numFmtId="2" fontId="2" fillId="34" borderId="0" xfId="0" applyNumberFormat="1" applyFont="1" applyFill="1" applyAlignment="1">
      <alignment horizontal="right" vertical="center" wrapText="1"/>
    </xf>
    <xf numFmtId="2" fontId="42" fillId="34" borderId="0" xfId="0" applyNumberFormat="1" applyFont="1" applyFill="1" applyAlignment="1">
      <alignment horizontal="right" vertical="center"/>
    </xf>
    <xf numFmtId="0" fontId="42" fillId="34" borderId="0" xfId="0" applyFont="1" applyFill="1" applyAlignment="1">
      <alignment horizontal="right" vertical="center"/>
    </xf>
    <xf numFmtId="1" fontId="42" fillId="34" borderId="0" xfId="0" applyNumberFormat="1" applyFont="1" applyFill="1" applyAlignment="1">
      <alignment horizontal="right" vertical="center"/>
    </xf>
    <xf numFmtId="0" fontId="42" fillId="34" borderId="0" xfId="0" applyFont="1" applyFill="1" applyAlignment="1">
      <alignment horizontal="left" vertical="center"/>
    </xf>
    <xf numFmtId="1" fontId="42" fillId="34" borderId="0" xfId="0" applyNumberFormat="1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  <xf numFmtId="165" fontId="42" fillId="0" borderId="0" xfId="0" applyNumberFormat="1" applyFont="1" applyAlignment="1">
      <alignment horizontal="left" vertical="center"/>
    </xf>
    <xf numFmtId="1" fontId="42" fillId="34" borderId="0" xfId="0" applyNumberFormat="1" applyFont="1" applyFill="1" applyAlignment="1">
      <alignment horizontal="right" vertical="center"/>
    </xf>
    <xf numFmtId="2" fontId="2" fillId="34" borderId="0" xfId="0" applyNumberFormat="1" applyFont="1" applyFill="1" applyAlignment="1">
      <alignment horizontal="right" vertical="center" wrapText="1"/>
    </xf>
    <xf numFmtId="1" fontId="42" fillId="34" borderId="0" xfId="0" applyNumberFormat="1" applyFont="1" applyFill="1" applyAlignment="1">
      <alignment horizontal="right" vertical="center"/>
    </xf>
    <xf numFmtId="0" fontId="42" fillId="34" borderId="0" xfId="0" applyFont="1" applyFill="1" applyAlignment="1">
      <alignment horizontal="center" vertical="center"/>
    </xf>
    <xf numFmtId="0" fontId="42" fillId="34" borderId="0" xfId="0" applyFont="1" applyFill="1" applyAlignment="1">
      <alignment horizontal="left" vertical="center"/>
    </xf>
    <xf numFmtId="0" fontId="42" fillId="3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4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42" fillId="0" borderId="0" xfId="0" applyNumberFormat="1" applyFont="1" applyAlignment="1">
      <alignment horizontal="center" vertical="center"/>
    </xf>
    <xf numFmtId="165" fontId="4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1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 wrapText="1"/>
    </xf>
    <xf numFmtId="1" fontId="42" fillId="0" borderId="0" xfId="0" applyNumberFormat="1" applyFont="1" applyAlignment="1">
      <alignment horizontal="right" vertical="center"/>
    </xf>
    <xf numFmtId="1" fontId="4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/>
    </xf>
    <xf numFmtId="2" fontId="42" fillId="0" borderId="0" xfId="0" applyNumberFormat="1" applyFont="1" applyAlignment="1">
      <alignment horizontal="right" vertical="center" wrapText="1"/>
    </xf>
    <xf numFmtId="2" fontId="42" fillId="0" borderId="0" xfId="0" applyNumberFormat="1" applyFont="1" applyAlignment="1">
      <alignment horizontal="right" vertical="center" wrapText="1"/>
    </xf>
    <xf numFmtId="1" fontId="4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64" fontId="42" fillId="34" borderId="0" xfId="0" applyNumberFormat="1" applyFont="1" applyFill="1" applyAlignment="1">
      <alignment horizontal="left" vertical="center"/>
    </xf>
    <xf numFmtId="2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1" fontId="42" fillId="0" borderId="0" xfId="0" applyNumberFormat="1" applyFont="1" applyAlignment="1">
      <alignment horizontal="right" vertical="center"/>
    </xf>
    <xf numFmtId="1" fontId="42" fillId="0" borderId="0" xfId="0" applyNumberFormat="1" applyFont="1" applyAlignment="1">
      <alignment horizontal="right" vertical="center"/>
    </xf>
    <xf numFmtId="14" fontId="42" fillId="0" borderId="0" xfId="0" applyNumberFormat="1" applyFont="1" applyAlignment="1">
      <alignment horizontal="left" vertical="center"/>
    </xf>
    <xf numFmtId="14" fontId="42" fillId="34" borderId="0" xfId="0" applyNumberFormat="1" applyFont="1" applyFill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164" fontId="4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horizontal="left" vertical="center" wrapText="1"/>
    </xf>
    <xf numFmtId="164" fontId="42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horizontal="left" vertical="center"/>
    </xf>
    <xf numFmtId="164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right" vertical="center" wrapText="1"/>
    </xf>
    <xf numFmtId="1" fontId="42" fillId="0" borderId="0" xfId="0" applyNumberFormat="1" applyFont="1" applyAlignment="1">
      <alignment horizontal="right" vertical="center" wrapText="1"/>
    </xf>
    <xf numFmtId="49" fontId="42" fillId="0" borderId="0" xfId="0" applyNumberFormat="1" applyFont="1" applyAlignment="1">
      <alignment horizontal="right" vertical="center" wrapText="1"/>
    </xf>
    <xf numFmtId="49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right" vertical="center" wrapText="1"/>
    </xf>
    <xf numFmtId="2" fontId="42" fillId="0" borderId="0" xfId="0" applyNumberFormat="1" applyFont="1" applyAlignment="1">
      <alignment horizontal="right" vertical="center" wrapText="1"/>
    </xf>
    <xf numFmtId="2" fontId="2" fillId="34" borderId="0" xfId="0" applyNumberFormat="1" applyFont="1" applyFill="1" applyAlignment="1">
      <alignment horizontal="right" vertical="center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1" fontId="42" fillId="0" borderId="0" xfId="0" applyNumberFormat="1" applyFont="1" applyAlignment="1">
      <alignment horizontal="right"/>
    </xf>
    <xf numFmtId="166" fontId="42" fillId="0" borderId="0" xfId="0" applyNumberFormat="1" applyFont="1" applyAlignment="1">
      <alignment horizontal="left" vertical="center" wrapText="1"/>
    </xf>
    <xf numFmtId="166" fontId="42" fillId="0" borderId="0" xfId="0" applyNumberFormat="1" applyFont="1" applyAlignment="1">
      <alignment horizontal="left" vertical="center"/>
    </xf>
    <xf numFmtId="2" fontId="43" fillId="0" borderId="0" xfId="0" applyNumberFormat="1" applyFont="1" applyAlignment="1">
      <alignment horizontal="right" vertical="center" wrapText="1"/>
    </xf>
    <xf numFmtId="2" fontId="43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left"/>
    </xf>
    <xf numFmtId="0" fontId="2" fillId="34" borderId="0" xfId="0" applyFont="1" applyFill="1" applyAlignment="1">
      <alignment horizontal="right" vertical="center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34" borderId="0" xfId="0" applyNumberFormat="1" applyFont="1" applyFill="1" applyAlignment="1">
      <alignment horizontal="right" vertical="center"/>
    </xf>
    <xf numFmtId="1" fontId="42" fillId="34" borderId="0" xfId="0" applyNumberFormat="1" applyFont="1" applyFill="1" applyAlignment="1">
      <alignment horizontal="right"/>
    </xf>
    <xf numFmtId="0" fontId="42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" fontId="42" fillId="0" borderId="0" xfId="0" applyNumberFormat="1" applyFont="1" applyAlignment="1">
      <alignment horizontal="right"/>
    </xf>
    <xf numFmtId="0" fontId="42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1" fontId="42" fillId="34" borderId="0" xfId="0" applyNumberFormat="1" applyFont="1" applyFill="1" applyAlignment="1">
      <alignment horizontal="right"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1" fontId="42" fillId="34" borderId="0" xfId="0" applyNumberFormat="1" applyFont="1" applyFill="1" applyAlignment="1">
      <alignment horizontal="right"/>
    </xf>
    <xf numFmtId="0" fontId="42" fillId="34" borderId="0" xfId="0" applyFont="1" applyFill="1" applyAlignment="1">
      <alignment horizontal="center"/>
    </xf>
    <xf numFmtId="0" fontId="42" fillId="0" borderId="0" xfId="0" applyFont="1" applyAlignment="1">
      <alignment horizontal="left"/>
    </xf>
    <xf numFmtId="1" fontId="42" fillId="0" borderId="0" xfId="0" applyNumberFormat="1" applyFont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847725</xdr:colOff>
      <xdr:row>54</xdr:row>
      <xdr:rowOff>142875</xdr:rowOff>
    </xdr:to>
    <xdr:sp>
      <xdr:nvSpPr>
        <xdr:cNvPr id="1" name="Rectangle 4" hidden="1"/>
        <xdr:cNvSpPr>
          <a:spLocks/>
        </xdr:cNvSpPr>
      </xdr:nvSpPr>
      <xdr:spPr>
        <a:xfrm>
          <a:off x="0" y="0"/>
          <a:ext cx="7972425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15.140625" defaultRowHeight="15" customHeight="1"/>
  <cols>
    <col min="1" max="1" width="12.8515625" style="0" customWidth="1"/>
    <col min="2" max="2" width="12.57421875" style="0" customWidth="1"/>
    <col min="3" max="3" width="9.28125" style="0" customWidth="1"/>
    <col min="4" max="6" width="12.140625" style="0" customWidth="1"/>
    <col min="7" max="7" width="11.7109375" style="0" customWidth="1"/>
    <col min="8" max="8" width="13.57421875" style="0" customWidth="1"/>
    <col min="9" max="9" width="10.421875" style="0" customWidth="1"/>
    <col min="10" max="10" width="43.421875" style="0" customWidth="1"/>
    <col min="11" max="11" width="17.8515625" style="0" customWidth="1"/>
    <col min="12" max="12" width="14.00390625" style="0" customWidth="1"/>
    <col min="13" max="14" width="13.7109375" style="0" customWidth="1"/>
    <col min="15" max="15" width="17.00390625" style="0" customWidth="1"/>
    <col min="16" max="16" width="12.8515625" style="0" customWidth="1"/>
    <col min="17" max="18" width="13.421875" style="0" customWidth="1"/>
    <col min="19" max="19" width="12.140625" style="0" customWidth="1"/>
    <col min="20" max="20" width="11.7109375" style="0" customWidth="1"/>
    <col min="21" max="21" width="12.8515625" style="0" customWidth="1"/>
    <col min="22" max="22" width="14.28125" style="0" customWidth="1"/>
    <col min="23" max="23" width="9.421875" style="0" customWidth="1"/>
    <col min="24" max="24" width="12.421875" style="0" customWidth="1"/>
    <col min="25" max="25" width="12.8515625" style="0" customWidth="1"/>
    <col min="26" max="26" width="12.28125" style="0" customWidth="1"/>
    <col min="27" max="27" width="12.00390625" style="0" customWidth="1"/>
    <col min="28" max="28" width="12.28125" style="0" customWidth="1"/>
    <col min="29" max="29" width="13.140625" style="0" customWidth="1"/>
    <col min="30" max="30" width="16.00390625" style="0" customWidth="1"/>
    <col min="31" max="32" width="13.140625" style="0" customWidth="1"/>
    <col min="33" max="33" width="15.140625" style="0" customWidth="1"/>
    <col min="34" max="34" width="16.421875" style="0" customWidth="1"/>
    <col min="35" max="35" width="17.00390625" style="0" customWidth="1"/>
    <col min="36" max="36" width="13.421875" style="0" customWidth="1"/>
    <col min="37" max="37" width="18.7109375" style="0" customWidth="1"/>
    <col min="38" max="38" width="10.28125" style="0" customWidth="1"/>
    <col min="39" max="39" width="7.421875" style="0" customWidth="1"/>
    <col min="40" max="40" width="9.421875" style="0" customWidth="1"/>
    <col min="41" max="42" width="9.8515625" style="0" customWidth="1"/>
    <col min="43" max="43" width="7.421875" style="0" customWidth="1"/>
    <col min="44" max="44" width="11.140625" style="0" customWidth="1"/>
    <col min="45" max="45" width="14.00390625" style="0" customWidth="1"/>
    <col min="46" max="55" width="13.00390625" style="0" customWidth="1"/>
  </cols>
  <sheetData>
    <row r="1" spans="1:55" ht="23.25" customHeight="1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5" t="s">
        <v>10</v>
      </c>
      <c r="L1" s="3" t="s">
        <v>11</v>
      </c>
      <c r="M1" s="3" t="s">
        <v>12</v>
      </c>
      <c r="N1" s="2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4" t="s">
        <v>22</v>
      </c>
      <c r="X1" s="7" t="s">
        <v>23</v>
      </c>
      <c r="Y1" s="7" t="s">
        <v>24</v>
      </c>
      <c r="Z1" s="7" t="s">
        <v>25</v>
      </c>
      <c r="AA1" s="2" t="s">
        <v>26</v>
      </c>
      <c r="AB1" s="2" t="s">
        <v>27</v>
      </c>
      <c r="AC1" s="2" t="s">
        <v>28</v>
      </c>
      <c r="AD1" s="7" t="s">
        <v>29</v>
      </c>
      <c r="AE1" s="2" t="s">
        <v>30</v>
      </c>
      <c r="AF1" s="2" t="s">
        <v>31</v>
      </c>
      <c r="AG1" s="2" t="s">
        <v>32</v>
      </c>
      <c r="AH1" s="3" t="s">
        <v>33</v>
      </c>
      <c r="AI1" s="2" t="s">
        <v>34</v>
      </c>
      <c r="AJ1" s="2" t="s">
        <v>35</v>
      </c>
      <c r="AK1" s="3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3" t="s">
        <v>43</v>
      </c>
      <c r="AS1" s="1" t="s">
        <v>44</v>
      </c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13.5" customHeight="1">
      <c r="A2" s="8" t="s">
        <v>45</v>
      </c>
      <c r="B2" s="9">
        <v>39027</v>
      </c>
      <c r="C2" s="10" t="s">
        <v>6</v>
      </c>
      <c r="D2" s="11" t="s">
        <v>46</v>
      </c>
      <c r="E2" s="11"/>
      <c r="F2" s="11"/>
      <c r="G2" s="11" t="s">
        <v>46</v>
      </c>
      <c r="H2" s="11" t="s">
        <v>46</v>
      </c>
      <c r="I2" s="11" t="s">
        <v>46</v>
      </c>
      <c r="J2" s="8" t="s">
        <v>47</v>
      </c>
      <c r="K2" s="10" t="s">
        <v>48</v>
      </c>
      <c r="L2" s="12">
        <v>42368</v>
      </c>
      <c r="M2" s="13" t="s">
        <v>49</v>
      </c>
      <c r="N2" s="14" t="s">
        <v>50</v>
      </c>
      <c r="O2" s="15">
        <v>2924137.95</v>
      </c>
      <c r="P2" s="15">
        <v>144821.57</v>
      </c>
      <c r="Q2" s="15">
        <v>2600000</v>
      </c>
      <c r="R2" s="15">
        <v>0</v>
      </c>
      <c r="S2" s="16">
        <v>0</v>
      </c>
      <c r="T2" s="15">
        <v>-487427.88</v>
      </c>
      <c r="U2" s="15">
        <v>0</v>
      </c>
      <c r="V2" s="15">
        <v>-487427.88</v>
      </c>
      <c r="W2" s="17">
        <v>0</v>
      </c>
      <c r="X2" s="15">
        <f>O2+T2</f>
        <v>2436710.0700000003</v>
      </c>
      <c r="Y2" s="18">
        <v>0</v>
      </c>
      <c r="Z2" s="19">
        <v>0</v>
      </c>
      <c r="AA2" s="17">
        <v>0</v>
      </c>
      <c r="AB2" s="20">
        <v>0</v>
      </c>
      <c r="AC2" s="21">
        <v>0</v>
      </c>
      <c r="AD2" s="19">
        <v>0</v>
      </c>
      <c r="AE2" s="22"/>
      <c r="AF2" s="22"/>
      <c r="AG2" s="9">
        <v>39146</v>
      </c>
      <c r="AH2" s="9">
        <v>39623</v>
      </c>
      <c r="AI2" s="22"/>
      <c r="AJ2" s="22"/>
      <c r="AK2" s="23"/>
      <c r="AL2" s="23"/>
      <c r="AM2" s="23"/>
      <c r="AN2" s="23"/>
      <c r="AO2" s="23"/>
      <c r="AP2" s="23"/>
      <c r="AQ2" s="23"/>
      <c r="AR2" s="24"/>
      <c r="AS2" s="25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13.5" customHeight="1">
      <c r="A3" s="8" t="s">
        <v>51</v>
      </c>
      <c r="B3" s="9">
        <v>40359</v>
      </c>
      <c r="C3" s="10" t="s">
        <v>6</v>
      </c>
      <c r="D3" s="11" t="s">
        <v>46</v>
      </c>
      <c r="E3" s="11"/>
      <c r="F3" s="11"/>
      <c r="G3" s="11" t="s">
        <v>46</v>
      </c>
      <c r="H3" s="11" t="s">
        <v>46</v>
      </c>
      <c r="I3" s="11" t="s">
        <v>46</v>
      </c>
      <c r="J3" s="8" t="s">
        <v>52</v>
      </c>
      <c r="K3" s="10" t="s">
        <v>53</v>
      </c>
      <c r="L3" s="12">
        <v>42368</v>
      </c>
      <c r="M3" s="13" t="s">
        <v>49</v>
      </c>
      <c r="N3" s="14" t="s">
        <v>50</v>
      </c>
      <c r="O3" s="15">
        <v>1811473.79</v>
      </c>
      <c r="P3" s="15">
        <v>20000</v>
      </c>
      <c r="Q3" s="15">
        <v>712000000</v>
      </c>
      <c r="R3" s="15">
        <v>0</v>
      </c>
      <c r="S3" s="16">
        <v>0</v>
      </c>
      <c r="T3" s="15">
        <v>0</v>
      </c>
      <c r="U3" s="15">
        <v>0</v>
      </c>
      <c r="V3" s="15">
        <v>0</v>
      </c>
      <c r="W3" s="20">
        <v>0</v>
      </c>
      <c r="X3" s="15">
        <v>55969895.48</v>
      </c>
      <c r="Y3" s="18">
        <v>0</v>
      </c>
      <c r="Z3" s="19">
        <v>0</v>
      </c>
      <c r="AA3" s="17">
        <v>0</v>
      </c>
      <c r="AB3" s="20">
        <v>0</v>
      </c>
      <c r="AC3" s="21">
        <v>0</v>
      </c>
      <c r="AD3" s="19">
        <v>0</v>
      </c>
      <c r="AE3" s="22"/>
      <c r="AF3" s="22"/>
      <c r="AG3" s="9">
        <v>39519</v>
      </c>
      <c r="AH3" s="9">
        <v>40001</v>
      </c>
      <c r="AI3" s="22"/>
      <c r="AJ3" s="22"/>
      <c r="AK3" s="23"/>
      <c r="AL3" s="23"/>
      <c r="AM3" s="23"/>
      <c r="AN3" s="23"/>
      <c r="AO3" s="23"/>
      <c r="AP3" s="23"/>
      <c r="AQ3" s="23"/>
      <c r="AR3" s="24"/>
      <c r="AS3" s="25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55" ht="13.5" customHeight="1">
      <c r="A4" s="27" t="s">
        <v>54</v>
      </c>
      <c r="B4" s="22"/>
      <c r="C4" s="10" t="s">
        <v>6</v>
      </c>
      <c r="D4" s="11" t="s">
        <v>46</v>
      </c>
      <c r="E4" s="11"/>
      <c r="F4" s="11"/>
      <c r="G4" s="11" t="s">
        <v>46</v>
      </c>
      <c r="H4" s="11" t="s">
        <v>46</v>
      </c>
      <c r="I4" s="11" t="s">
        <v>46</v>
      </c>
      <c r="J4" s="8" t="s">
        <v>55</v>
      </c>
      <c r="K4" s="10"/>
      <c r="L4" s="12">
        <v>42368</v>
      </c>
      <c r="M4" s="28" t="s">
        <v>56</v>
      </c>
      <c r="N4" s="13"/>
      <c r="O4" s="15">
        <v>0</v>
      </c>
      <c r="P4" s="15">
        <v>0</v>
      </c>
      <c r="Q4" s="15">
        <v>0</v>
      </c>
      <c r="R4" s="15">
        <v>0</v>
      </c>
      <c r="S4" s="29">
        <v>0</v>
      </c>
      <c r="T4" s="15">
        <v>0</v>
      </c>
      <c r="U4" s="15">
        <v>0</v>
      </c>
      <c r="V4" s="15">
        <v>0</v>
      </c>
      <c r="W4" s="20">
        <v>0</v>
      </c>
      <c r="X4" s="15">
        <v>0</v>
      </c>
      <c r="Y4" s="30">
        <v>0</v>
      </c>
      <c r="Z4" s="15">
        <v>0</v>
      </c>
      <c r="AA4" s="20">
        <v>0</v>
      </c>
      <c r="AB4" s="20">
        <v>0</v>
      </c>
      <c r="AC4" s="31">
        <v>0</v>
      </c>
      <c r="AD4" s="15">
        <v>0</v>
      </c>
      <c r="AE4" s="22"/>
      <c r="AF4" s="22"/>
      <c r="AG4" s="22"/>
      <c r="AH4" s="22"/>
      <c r="AI4" s="22"/>
      <c r="AJ4" s="22"/>
      <c r="AK4" s="23"/>
      <c r="AL4" s="23"/>
      <c r="AM4" s="23"/>
      <c r="AN4" s="23"/>
      <c r="AO4" s="23"/>
      <c r="AP4" s="23"/>
      <c r="AQ4" s="23"/>
      <c r="AR4" s="24"/>
      <c r="AS4" s="25"/>
      <c r="AT4" s="26"/>
      <c r="AU4" s="26"/>
      <c r="AV4" s="26"/>
      <c r="AW4" s="26"/>
      <c r="AX4" s="26"/>
      <c r="AY4" s="26"/>
      <c r="AZ4" s="26"/>
      <c r="BA4" s="26"/>
      <c r="BB4" s="26"/>
      <c r="BC4" s="26"/>
    </row>
    <row r="5" spans="1:55" ht="13.5" customHeight="1">
      <c r="A5" s="11" t="s">
        <v>57</v>
      </c>
      <c r="B5" s="9">
        <v>38706</v>
      </c>
      <c r="C5" s="10" t="s">
        <v>6</v>
      </c>
      <c r="D5" s="10" t="s">
        <v>46</v>
      </c>
      <c r="E5" s="10"/>
      <c r="F5" s="10"/>
      <c r="G5" s="11" t="s">
        <v>46</v>
      </c>
      <c r="H5" s="11" t="s">
        <v>46</v>
      </c>
      <c r="I5" s="11" t="s">
        <v>46</v>
      </c>
      <c r="J5" s="8" t="s">
        <v>58</v>
      </c>
      <c r="K5" s="10" t="s">
        <v>53</v>
      </c>
      <c r="L5" s="12">
        <v>42368</v>
      </c>
      <c r="M5" s="13" t="s">
        <v>49</v>
      </c>
      <c r="N5" s="14" t="s">
        <v>50</v>
      </c>
      <c r="O5" s="15">
        <v>6219319.83</v>
      </c>
      <c r="P5" s="15">
        <v>91065.76</v>
      </c>
      <c r="Q5" s="15">
        <v>9587348.13</v>
      </c>
      <c r="R5" s="15">
        <v>0</v>
      </c>
      <c r="S5" s="16">
        <v>0</v>
      </c>
      <c r="T5" s="15">
        <v>1493714.3</v>
      </c>
      <c r="U5" s="15">
        <v>0</v>
      </c>
      <c r="V5" s="15">
        <v>1493714.3</v>
      </c>
      <c r="W5" s="17">
        <v>0</v>
      </c>
      <c r="X5" s="15">
        <f>O5+T5</f>
        <v>7713034.13</v>
      </c>
      <c r="Y5" s="18">
        <v>0</v>
      </c>
      <c r="Z5" s="19">
        <v>0</v>
      </c>
      <c r="AA5" s="17">
        <v>0</v>
      </c>
      <c r="AB5" s="17">
        <v>0</v>
      </c>
      <c r="AC5" s="21">
        <v>0</v>
      </c>
      <c r="AD5" s="19">
        <v>0</v>
      </c>
      <c r="AE5" s="22"/>
      <c r="AF5" s="22"/>
      <c r="AG5" s="9">
        <v>39232</v>
      </c>
      <c r="AH5" s="9">
        <v>40143</v>
      </c>
      <c r="AI5" s="22"/>
      <c r="AJ5" s="22"/>
      <c r="AK5" s="23"/>
      <c r="AL5" s="23"/>
      <c r="AM5" s="23"/>
      <c r="AN5" s="23"/>
      <c r="AO5" s="23"/>
      <c r="AP5" s="23"/>
      <c r="AQ5" s="23"/>
      <c r="AR5" s="24"/>
      <c r="AS5" s="25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1:55" ht="13.5" customHeight="1">
      <c r="A6" s="27" t="s">
        <v>54</v>
      </c>
      <c r="B6" s="22"/>
      <c r="C6" s="10" t="s">
        <v>6</v>
      </c>
      <c r="D6" s="10" t="s">
        <v>46</v>
      </c>
      <c r="E6" s="10"/>
      <c r="F6" s="10"/>
      <c r="G6" s="11" t="s">
        <v>46</v>
      </c>
      <c r="H6" s="11" t="s">
        <v>46</v>
      </c>
      <c r="I6" s="11" t="s">
        <v>46</v>
      </c>
      <c r="J6" s="8" t="s">
        <v>59</v>
      </c>
      <c r="K6" s="10" t="s">
        <v>60</v>
      </c>
      <c r="L6" s="12">
        <v>42368</v>
      </c>
      <c r="M6" s="13" t="s">
        <v>49</v>
      </c>
      <c r="N6" s="14" t="s">
        <v>50</v>
      </c>
      <c r="O6" s="15">
        <v>1081509.36</v>
      </c>
      <c r="P6" s="15">
        <v>18075.99</v>
      </c>
      <c r="Q6" s="15">
        <v>3291142.25</v>
      </c>
      <c r="R6" s="15">
        <v>0</v>
      </c>
      <c r="S6" s="16">
        <v>0</v>
      </c>
      <c r="T6" s="15">
        <v>24569.46</v>
      </c>
      <c r="U6" s="15">
        <v>0</v>
      </c>
      <c r="V6" s="15">
        <v>24569.46</v>
      </c>
      <c r="W6" s="17">
        <v>0</v>
      </c>
      <c r="X6" s="19">
        <v>0</v>
      </c>
      <c r="Y6" s="18">
        <v>0</v>
      </c>
      <c r="Z6" s="19">
        <v>0</v>
      </c>
      <c r="AA6" s="17">
        <v>0</v>
      </c>
      <c r="AB6" s="17">
        <v>0</v>
      </c>
      <c r="AC6" s="21">
        <v>0</v>
      </c>
      <c r="AD6" s="19">
        <v>0</v>
      </c>
      <c r="AE6" s="22"/>
      <c r="AF6" s="22"/>
      <c r="AG6" s="9">
        <v>37748</v>
      </c>
      <c r="AH6" s="9">
        <v>39239</v>
      </c>
      <c r="AI6" s="22"/>
      <c r="AJ6" s="22"/>
      <c r="AK6" s="23"/>
      <c r="AL6" s="23"/>
      <c r="AM6" s="23"/>
      <c r="AN6" s="23"/>
      <c r="AO6" s="23"/>
      <c r="AP6" s="23"/>
      <c r="AQ6" s="23"/>
      <c r="AR6" s="24"/>
      <c r="AS6" s="25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ht="13.5" customHeight="1">
      <c r="A7" s="27" t="s">
        <v>54</v>
      </c>
      <c r="B7" s="9"/>
      <c r="C7" s="10" t="s">
        <v>6</v>
      </c>
      <c r="D7" s="10" t="s">
        <v>46</v>
      </c>
      <c r="E7" s="10"/>
      <c r="F7" s="10"/>
      <c r="G7" s="11" t="s">
        <v>46</v>
      </c>
      <c r="H7" s="11" t="s">
        <v>46</v>
      </c>
      <c r="I7" s="11" t="s">
        <v>46</v>
      </c>
      <c r="J7" s="8" t="s">
        <v>61</v>
      </c>
      <c r="K7" s="10" t="s">
        <v>53</v>
      </c>
      <c r="L7" s="12">
        <v>42368</v>
      </c>
      <c r="M7" s="13" t="s">
        <v>49</v>
      </c>
      <c r="N7" s="14" t="s">
        <v>50</v>
      </c>
      <c r="O7" s="15">
        <v>5975651.31</v>
      </c>
      <c r="P7" s="15">
        <v>94759.72</v>
      </c>
      <c r="Q7" s="15">
        <v>8000000</v>
      </c>
      <c r="R7" s="15">
        <v>0</v>
      </c>
      <c r="S7" s="16">
        <v>0</v>
      </c>
      <c r="T7" s="15">
        <v>594828.42</v>
      </c>
      <c r="U7" s="15">
        <v>0</v>
      </c>
      <c r="V7" s="15">
        <v>594828.42</v>
      </c>
      <c r="W7" s="17">
        <v>0</v>
      </c>
      <c r="X7" s="19">
        <v>0</v>
      </c>
      <c r="Y7" s="18">
        <v>0</v>
      </c>
      <c r="Z7" s="19">
        <v>0</v>
      </c>
      <c r="AA7" s="17">
        <v>0</v>
      </c>
      <c r="AB7" s="17">
        <v>0</v>
      </c>
      <c r="AC7" s="21">
        <v>0</v>
      </c>
      <c r="AD7" s="19">
        <v>0</v>
      </c>
      <c r="AE7" s="22"/>
      <c r="AF7" s="22"/>
      <c r="AG7" s="9">
        <v>39552</v>
      </c>
      <c r="AH7" s="9">
        <v>40618</v>
      </c>
      <c r="AI7" s="22"/>
      <c r="AJ7" s="22"/>
      <c r="AK7" s="23"/>
      <c r="AL7" s="23"/>
      <c r="AM7" s="23"/>
      <c r="AN7" s="23"/>
      <c r="AO7" s="23"/>
      <c r="AP7" s="23"/>
      <c r="AQ7" s="23"/>
      <c r="AR7" s="24"/>
      <c r="AS7" s="25"/>
      <c r="AT7" s="26"/>
      <c r="AU7" s="26"/>
      <c r="AV7" s="26"/>
      <c r="AW7" s="26"/>
      <c r="AX7" s="26"/>
      <c r="AY7" s="26"/>
      <c r="AZ7" s="26"/>
      <c r="BA7" s="26"/>
      <c r="BB7" s="26"/>
      <c r="BC7" s="26"/>
    </row>
    <row r="8" spans="1:55" ht="13.5" customHeight="1">
      <c r="A8" s="11" t="s">
        <v>62</v>
      </c>
      <c r="B8" s="9">
        <v>38272</v>
      </c>
      <c r="C8" s="10" t="s">
        <v>6</v>
      </c>
      <c r="D8" s="10" t="s">
        <v>46</v>
      </c>
      <c r="E8" s="10"/>
      <c r="F8" s="10"/>
      <c r="G8" s="11" t="s">
        <v>46</v>
      </c>
      <c r="H8" s="11" t="s">
        <v>46</v>
      </c>
      <c r="I8" s="11" t="s">
        <v>46</v>
      </c>
      <c r="J8" s="8" t="s">
        <v>63</v>
      </c>
      <c r="K8" s="10" t="s">
        <v>64</v>
      </c>
      <c r="L8" s="12">
        <v>42368</v>
      </c>
      <c r="M8" s="13" t="s">
        <v>49</v>
      </c>
      <c r="N8" s="14" t="s">
        <v>50</v>
      </c>
      <c r="O8" s="15">
        <v>2448193.74</v>
      </c>
      <c r="P8" s="15">
        <v>56227.32</v>
      </c>
      <c r="Q8" s="15">
        <v>5500000</v>
      </c>
      <c r="R8" s="15">
        <v>0</v>
      </c>
      <c r="S8" s="16">
        <v>0</v>
      </c>
      <c r="T8" s="15">
        <v>287787.66</v>
      </c>
      <c r="U8" s="15">
        <v>0</v>
      </c>
      <c r="V8" s="15">
        <v>287787.66</v>
      </c>
      <c r="W8" s="17">
        <v>0</v>
      </c>
      <c r="X8" s="19">
        <v>0</v>
      </c>
      <c r="Y8" s="18">
        <v>0</v>
      </c>
      <c r="Z8" s="19">
        <v>0</v>
      </c>
      <c r="AA8" s="17">
        <v>0</v>
      </c>
      <c r="AB8" s="17">
        <v>0</v>
      </c>
      <c r="AC8" s="21">
        <v>0</v>
      </c>
      <c r="AD8" s="19">
        <v>0</v>
      </c>
      <c r="AE8" s="22"/>
      <c r="AF8" s="22"/>
      <c r="AG8" s="9">
        <v>38602</v>
      </c>
      <c r="AH8" s="9">
        <v>40798</v>
      </c>
      <c r="AI8" s="22"/>
      <c r="AJ8" s="22"/>
      <c r="AK8" s="23"/>
      <c r="AL8" s="23"/>
      <c r="AM8" s="23"/>
      <c r="AN8" s="23"/>
      <c r="AO8" s="23"/>
      <c r="AP8" s="23"/>
      <c r="AQ8" s="23"/>
      <c r="AR8" s="24"/>
      <c r="AS8" s="25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55" ht="13.5" customHeight="1">
      <c r="A9" s="33" t="s">
        <v>65</v>
      </c>
      <c r="B9" s="9">
        <v>41988</v>
      </c>
      <c r="C9" s="33" t="s">
        <v>6</v>
      </c>
      <c r="D9" s="33" t="s">
        <v>46</v>
      </c>
      <c r="E9" s="33"/>
      <c r="F9" s="33"/>
      <c r="G9" s="11" t="s">
        <v>46</v>
      </c>
      <c r="H9" s="11" t="s">
        <v>46</v>
      </c>
      <c r="I9" s="11" t="s">
        <v>46</v>
      </c>
      <c r="J9" s="8" t="s">
        <v>66</v>
      </c>
      <c r="K9" s="33"/>
      <c r="L9" s="12">
        <v>42368</v>
      </c>
      <c r="M9" s="28" t="s">
        <v>56</v>
      </c>
      <c r="N9" s="33" t="s">
        <v>67</v>
      </c>
      <c r="O9" s="19">
        <v>0</v>
      </c>
      <c r="P9" s="19">
        <v>0</v>
      </c>
      <c r="Q9" s="15">
        <v>6000000</v>
      </c>
      <c r="R9" s="15">
        <v>0</v>
      </c>
      <c r="S9" s="16">
        <v>0</v>
      </c>
      <c r="T9" s="19">
        <v>0</v>
      </c>
      <c r="U9" s="19">
        <v>0</v>
      </c>
      <c r="V9" s="19">
        <v>0</v>
      </c>
      <c r="W9" s="17">
        <v>0</v>
      </c>
      <c r="X9" s="19">
        <v>0</v>
      </c>
      <c r="Y9" s="19">
        <v>0</v>
      </c>
      <c r="Z9" s="19">
        <v>0</v>
      </c>
      <c r="AA9" s="17">
        <v>0</v>
      </c>
      <c r="AB9" s="17">
        <v>0</v>
      </c>
      <c r="AC9" s="17">
        <v>0</v>
      </c>
      <c r="AD9" s="19">
        <v>0</v>
      </c>
      <c r="AE9" s="22"/>
      <c r="AF9" s="22"/>
      <c r="AG9" s="22"/>
      <c r="AH9" s="22"/>
      <c r="AI9" s="22"/>
      <c r="AJ9" s="22"/>
      <c r="AK9" s="32"/>
      <c r="AL9" s="32"/>
      <c r="AM9" s="32"/>
      <c r="AN9" s="32"/>
      <c r="AO9" s="32"/>
      <c r="AP9" s="32"/>
      <c r="AQ9" s="32"/>
      <c r="AR9" s="32"/>
      <c r="AS9" s="34"/>
      <c r="AT9" s="26"/>
      <c r="AU9" s="26"/>
      <c r="AV9" s="26"/>
      <c r="AW9" s="26"/>
      <c r="AX9" s="26"/>
      <c r="AY9" s="26"/>
      <c r="AZ9" s="26"/>
      <c r="BA9" s="26"/>
      <c r="BB9" s="26"/>
      <c r="BC9" s="26"/>
    </row>
    <row r="10" spans="1:55" ht="13.5" customHeight="1">
      <c r="A10" s="36" t="s">
        <v>68</v>
      </c>
      <c r="B10" s="37">
        <v>39227</v>
      </c>
      <c r="C10" s="38" t="s">
        <v>6</v>
      </c>
      <c r="D10" s="36" t="s">
        <v>69</v>
      </c>
      <c r="E10" s="36">
        <v>37.24279722222222</v>
      </c>
      <c r="F10" s="36">
        <v>15.21371111111111</v>
      </c>
      <c r="G10" s="36" t="s">
        <v>69</v>
      </c>
      <c r="H10" s="36" t="s">
        <v>69</v>
      </c>
      <c r="I10" s="36" t="s">
        <v>70</v>
      </c>
      <c r="J10" s="38" t="s">
        <v>71</v>
      </c>
      <c r="K10" s="38"/>
      <c r="L10" s="39">
        <v>42460</v>
      </c>
      <c r="M10" s="28" t="s">
        <v>72</v>
      </c>
      <c r="N10" s="40" t="s">
        <v>73</v>
      </c>
      <c r="O10" s="41">
        <v>41370209.27</v>
      </c>
      <c r="P10" s="42">
        <v>1802970.51</v>
      </c>
      <c r="Q10" s="42">
        <v>41370209.27</v>
      </c>
      <c r="R10" s="42">
        <v>0</v>
      </c>
      <c r="S10" s="43">
        <v>840</v>
      </c>
      <c r="T10" s="42">
        <v>0</v>
      </c>
      <c r="U10" s="42">
        <v>0</v>
      </c>
      <c r="V10" s="42">
        <v>0</v>
      </c>
      <c r="W10" s="44">
        <v>0</v>
      </c>
      <c r="X10" s="42">
        <v>41370209.27</v>
      </c>
      <c r="Y10" s="45">
        <v>1802970.51</v>
      </c>
      <c r="Z10" s="42">
        <v>1619300</v>
      </c>
      <c r="AA10" s="44">
        <v>840</v>
      </c>
      <c r="AB10" s="44">
        <v>371</v>
      </c>
      <c r="AC10" s="46">
        <v>423</v>
      </c>
      <c r="AD10" s="42">
        <v>3080000</v>
      </c>
      <c r="AE10" s="37">
        <v>39083</v>
      </c>
      <c r="AF10" s="37">
        <v>40461</v>
      </c>
      <c r="AG10" s="37">
        <v>41666</v>
      </c>
      <c r="AH10" s="37">
        <v>43038</v>
      </c>
      <c r="AI10" s="37">
        <v>43040</v>
      </c>
      <c r="AJ10" s="37">
        <v>43040</v>
      </c>
      <c r="AK10" s="47"/>
      <c r="AL10" s="47">
        <f>_xlfn.IFERROR(Z10/O10*100,0)</f>
        <v>3.9141692260528416</v>
      </c>
      <c r="AM10" s="47">
        <f>_xlfn.IFERROR(AC10/S10*100,0)</f>
        <v>50.357142857142854</v>
      </c>
      <c r="AN10" s="47">
        <f>_xlfn.IFERROR(V10/X10*100,0)</f>
        <v>0</v>
      </c>
      <c r="AO10" s="47">
        <f>_xlfn.IFERROR(W10/AA10*100,0)</f>
        <v>0</v>
      </c>
      <c r="AP10" s="47">
        <f>_xlfn.IFERROR(((W10+AB10)/AA10)*100,0)</f>
        <v>44.166666666666664</v>
      </c>
      <c r="AQ10" s="47">
        <f>_xlfn.IFERROR((AD10/O10)*100,0)</f>
        <v>7.444970799878189</v>
      </c>
      <c r="AR10" s="48">
        <f>_xlfn.IFERROR((Q10/O10)*100,0)</f>
        <v>100</v>
      </c>
      <c r="AS10" s="35" t="s">
        <v>74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ht="13.5" customHeight="1">
      <c r="A11" s="36" t="s">
        <v>75</v>
      </c>
      <c r="B11" s="37">
        <v>39805</v>
      </c>
      <c r="C11" s="38" t="s">
        <v>6</v>
      </c>
      <c r="D11" s="36" t="s">
        <v>69</v>
      </c>
      <c r="E11" s="36"/>
      <c r="F11" s="36"/>
      <c r="G11" s="36" t="s">
        <v>69</v>
      </c>
      <c r="H11" s="36" t="s">
        <v>69</v>
      </c>
      <c r="I11" s="36" t="s">
        <v>70</v>
      </c>
      <c r="J11" s="38" t="s">
        <v>76</v>
      </c>
      <c r="K11" s="38"/>
      <c r="L11" s="39">
        <v>42460</v>
      </c>
      <c r="M11" s="28" t="s">
        <v>56</v>
      </c>
      <c r="N11" s="49" t="s">
        <v>67</v>
      </c>
      <c r="O11" s="50">
        <v>23058739.54</v>
      </c>
      <c r="P11" s="50">
        <v>1172081.06</v>
      </c>
      <c r="Q11" s="42">
        <v>23058739.54</v>
      </c>
      <c r="R11" s="42">
        <v>0</v>
      </c>
      <c r="S11" s="43">
        <v>420</v>
      </c>
      <c r="T11" s="42">
        <v>0</v>
      </c>
      <c r="U11" s="42">
        <v>0</v>
      </c>
      <c r="V11" s="42">
        <v>0</v>
      </c>
      <c r="W11" s="44">
        <v>0</v>
      </c>
      <c r="X11" s="51">
        <v>0</v>
      </c>
      <c r="Y11" s="51">
        <v>0</v>
      </c>
      <c r="Z11" s="42">
        <v>0</v>
      </c>
      <c r="AA11" s="44">
        <v>420</v>
      </c>
      <c r="AB11" s="44">
        <v>0</v>
      </c>
      <c r="AC11" s="46">
        <v>-62</v>
      </c>
      <c r="AD11" s="42">
        <v>0</v>
      </c>
      <c r="AE11" s="37">
        <v>39897</v>
      </c>
      <c r="AF11" s="37">
        <v>41836</v>
      </c>
      <c r="AG11" s="37">
        <v>42522</v>
      </c>
      <c r="AH11" s="37">
        <v>42947</v>
      </c>
      <c r="AI11" s="37">
        <v>43313</v>
      </c>
      <c r="AJ11" s="37">
        <v>43831</v>
      </c>
      <c r="AK11" s="52" t="s">
        <v>77</v>
      </c>
      <c r="AL11" s="47">
        <v>0</v>
      </c>
      <c r="AM11" s="47">
        <v>-14.761904761904763</v>
      </c>
      <c r="AN11" s="47">
        <v>0</v>
      </c>
      <c r="AO11" s="47">
        <v>0</v>
      </c>
      <c r="AP11" s="47">
        <v>0</v>
      </c>
      <c r="AQ11" s="47">
        <v>0</v>
      </c>
      <c r="AR11" s="48">
        <v>100</v>
      </c>
      <c r="AS11" s="35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ht="13.5" customHeight="1">
      <c r="A12" s="36" t="s">
        <v>78</v>
      </c>
      <c r="B12" s="37">
        <v>41338</v>
      </c>
      <c r="C12" s="38" t="s">
        <v>6</v>
      </c>
      <c r="D12" s="36" t="s">
        <v>69</v>
      </c>
      <c r="E12" s="36">
        <v>37.24279722222222</v>
      </c>
      <c r="F12" s="36">
        <v>15.21371111111111</v>
      </c>
      <c r="G12" s="36" t="s">
        <v>69</v>
      </c>
      <c r="H12" s="36" t="s">
        <v>69</v>
      </c>
      <c r="I12" s="36" t="s">
        <v>70</v>
      </c>
      <c r="J12" s="38" t="s">
        <v>79</v>
      </c>
      <c r="K12" s="38"/>
      <c r="L12" s="39">
        <v>42460</v>
      </c>
      <c r="M12" s="28" t="s">
        <v>72</v>
      </c>
      <c r="N12" s="40" t="s">
        <v>73</v>
      </c>
      <c r="O12" s="41">
        <v>1407306.01</v>
      </c>
      <c r="P12" s="42">
        <v>37050.14</v>
      </c>
      <c r="Q12" s="42">
        <v>1407306.01</v>
      </c>
      <c r="R12" s="42">
        <v>0</v>
      </c>
      <c r="S12" s="43">
        <v>150</v>
      </c>
      <c r="T12" s="42">
        <v>0</v>
      </c>
      <c r="U12" s="42">
        <v>0</v>
      </c>
      <c r="V12" s="42">
        <v>0</v>
      </c>
      <c r="W12" s="44">
        <v>0</v>
      </c>
      <c r="X12" s="42">
        <v>1457133.81</v>
      </c>
      <c r="Y12" s="45">
        <v>38496.98</v>
      </c>
      <c r="Z12" s="42">
        <v>0</v>
      </c>
      <c r="AA12" s="44">
        <v>150</v>
      </c>
      <c r="AB12" s="44">
        <v>0</v>
      </c>
      <c r="AC12" s="46">
        <v>-20</v>
      </c>
      <c r="AD12" s="42">
        <v>0</v>
      </c>
      <c r="AE12" s="37">
        <v>40700</v>
      </c>
      <c r="AF12" s="37">
        <v>42464</v>
      </c>
      <c r="AG12" s="37">
        <v>42480</v>
      </c>
      <c r="AH12" s="37">
        <v>42632</v>
      </c>
      <c r="AI12" s="37">
        <v>42633</v>
      </c>
      <c r="AJ12" s="37">
        <v>42633</v>
      </c>
      <c r="AK12" s="47"/>
      <c r="AL12" s="47">
        <f>_xlfn.IFERROR(Z12/O12*100,0)</f>
        <v>0</v>
      </c>
      <c r="AM12" s="47">
        <f>_xlfn.IFERROR(AC12/S12*100,0)</f>
        <v>-13.333333333333334</v>
      </c>
      <c r="AN12" s="47">
        <f>_xlfn.IFERROR(V12/X12*100,0)</f>
        <v>0</v>
      </c>
      <c r="AO12" s="47">
        <f>_xlfn.IFERROR(W12/AA12*100,0)</f>
        <v>0</v>
      </c>
      <c r="AP12" s="47">
        <f>_xlfn.IFERROR(((W12+AB12)/AA12)*100,0)</f>
        <v>0</v>
      </c>
      <c r="AQ12" s="47">
        <f>_xlfn.IFERROR((AD12/O12)*100,0)</f>
        <v>0</v>
      </c>
      <c r="AR12" s="48">
        <f>_xlfn.IFERROR((Q12/O12)*100,0)</f>
        <v>100</v>
      </c>
      <c r="AS12" s="35" t="s">
        <v>74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ht="13.5" customHeight="1">
      <c r="A13" s="36" t="s">
        <v>80</v>
      </c>
      <c r="B13" s="37">
        <v>42331</v>
      </c>
      <c r="C13" s="38" t="s">
        <v>6</v>
      </c>
      <c r="D13" s="36" t="s">
        <v>69</v>
      </c>
      <c r="E13" s="36"/>
      <c r="F13" s="36"/>
      <c r="G13" s="36" t="s">
        <v>69</v>
      </c>
      <c r="H13" s="36" t="s">
        <v>69</v>
      </c>
      <c r="I13" s="36" t="s">
        <v>70</v>
      </c>
      <c r="J13" s="38" t="s">
        <v>81</v>
      </c>
      <c r="K13" s="38"/>
      <c r="L13" s="39">
        <v>42460</v>
      </c>
      <c r="M13" s="13" t="s">
        <v>49</v>
      </c>
      <c r="N13" s="40" t="s">
        <v>50</v>
      </c>
      <c r="O13" s="41">
        <v>761504.85</v>
      </c>
      <c r="P13" s="42">
        <v>24174.75</v>
      </c>
      <c r="Q13" s="42">
        <v>761504.85</v>
      </c>
      <c r="R13" s="42">
        <v>0</v>
      </c>
      <c r="S13" s="43">
        <v>120</v>
      </c>
      <c r="T13" s="42">
        <v>48575.27</v>
      </c>
      <c r="U13" s="42">
        <v>1215.05</v>
      </c>
      <c r="V13" s="42">
        <v>49790.32</v>
      </c>
      <c r="W13" s="44">
        <v>30</v>
      </c>
      <c r="X13" s="42">
        <v>810080.12</v>
      </c>
      <c r="Y13" s="45">
        <v>25389.8</v>
      </c>
      <c r="Z13" s="42">
        <v>810080.12</v>
      </c>
      <c r="AA13" s="44">
        <v>150</v>
      </c>
      <c r="AB13" s="44">
        <v>0</v>
      </c>
      <c r="AC13" s="46">
        <v>864</v>
      </c>
      <c r="AD13" s="42">
        <v>0</v>
      </c>
      <c r="AE13" s="37">
        <v>41075</v>
      </c>
      <c r="AF13" s="37">
        <v>41262</v>
      </c>
      <c r="AG13" s="53">
        <v>41596</v>
      </c>
      <c r="AH13" s="37">
        <v>41740</v>
      </c>
      <c r="AI13" s="37">
        <v>41741</v>
      </c>
      <c r="AJ13" s="37">
        <v>41741</v>
      </c>
      <c r="AK13" s="47"/>
      <c r="AL13" s="47">
        <v>106.37885234742761</v>
      </c>
      <c r="AM13" s="47">
        <v>720</v>
      </c>
      <c r="AN13" s="47">
        <v>6.146345129417569</v>
      </c>
      <c r="AO13" s="47">
        <v>20</v>
      </c>
      <c r="AP13" s="47">
        <v>20</v>
      </c>
      <c r="AQ13" s="47">
        <v>0</v>
      </c>
      <c r="AR13" s="48">
        <v>100</v>
      </c>
      <c r="AS13" s="35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ht="13.5" customHeight="1">
      <c r="A14" s="36" t="s">
        <v>82</v>
      </c>
      <c r="B14" s="53">
        <v>39577</v>
      </c>
      <c r="C14" s="38" t="s">
        <v>6</v>
      </c>
      <c r="D14" s="36" t="s">
        <v>69</v>
      </c>
      <c r="E14" s="36"/>
      <c r="F14" s="36"/>
      <c r="G14" s="36" t="s">
        <v>69</v>
      </c>
      <c r="H14" s="36" t="s">
        <v>69</v>
      </c>
      <c r="I14" s="36" t="s">
        <v>70</v>
      </c>
      <c r="J14" s="38" t="s">
        <v>83</v>
      </c>
      <c r="K14" s="38"/>
      <c r="L14" s="54">
        <v>42460</v>
      </c>
      <c r="M14" s="13" t="s">
        <v>49</v>
      </c>
      <c r="N14" s="49" t="s">
        <v>50</v>
      </c>
      <c r="O14" s="41">
        <v>991552.17</v>
      </c>
      <c r="P14" s="41">
        <v>21552.17</v>
      </c>
      <c r="Q14" s="41">
        <v>991552.17</v>
      </c>
      <c r="R14" s="41">
        <v>0</v>
      </c>
      <c r="S14" s="55">
        <v>300</v>
      </c>
      <c r="T14" s="41">
        <v>60158</v>
      </c>
      <c r="U14" s="41">
        <v>0</v>
      </c>
      <c r="V14" s="41">
        <v>60158</v>
      </c>
      <c r="W14" s="56">
        <v>120</v>
      </c>
      <c r="X14" s="41">
        <v>1051710.17</v>
      </c>
      <c r="Y14" s="45">
        <v>21552.17</v>
      </c>
      <c r="Z14" s="41">
        <v>1051710.17</v>
      </c>
      <c r="AA14" s="56">
        <v>420</v>
      </c>
      <c r="AB14" s="56">
        <v>0</v>
      </c>
      <c r="AC14" s="55">
        <v>1492</v>
      </c>
      <c r="AD14" s="41">
        <v>150000</v>
      </c>
      <c r="AE14" s="53">
        <v>38869</v>
      </c>
      <c r="AF14" s="53">
        <v>40497</v>
      </c>
      <c r="AG14" s="53">
        <v>40968</v>
      </c>
      <c r="AH14" s="53">
        <v>41387</v>
      </c>
      <c r="AI14" s="53">
        <v>41394</v>
      </c>
      <c r="AJ14" s="53">
        <v>41394</v>
      </c>
      <c r="AK14" s="57"/>
      <c r="AL14" s="57">
        <v>106.06705343602847</v>
      </c>
      <c r="AM14" s="57">
        <v>497.33333333333337</v>
      </c>
      <c r="AN14" s="57">
        <v>5.720016951057914</v>
      </c>
      <c r="AO14" s="57">
        <v>28.57142857142857</v>
      </c>
      <c r="AP14" s="57">
        <v>28.57142857142857</v>
      </c>
      <c r="AQ14" s="57">
        <v>15.127797057818954</v>
      </c>
      <c r="AR14" s="48">
        <v>100</v>
      </c>
      <c r="AS14" s="35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ht="13.5" customHeight="1">
      <c r="A15" s="36" t="s">
        <v>84</v>
      </c>
      <c r="B15" s="53">
        <v>39577</v>
      </c>
      <c r="C15" s="38" t="s">
        <v>6</v>
      </c>
      <c r="D15" s="36" t="s">
        <v>69</v>
      </c>
      <c r="E15" s="36"/>
      <c r="F15" s="36"/>
      <c r="G15" s="36" t="s">
        <v>69</v>
      </c>
      <c r="H15" s="36" t="s">
        <v>69</v>
      </c>
      <c r="I15" s="36" t="s">
        <v>70</v>
      </c>
      <c r="J15" s="38" t="s">
        <v>85</v>
      </c>
      <c r="K15" s="38"/>
      <c r="L15" s="54">
        <v>42460</v>
      </c>
      <c r="M15" s="13" t="s">
        <v>49</v>
      </c>
      <c r="N15" s="49" t="s">
        <v>50</v>
      </c>
      <c r="O15" s="41">
        <v>500125.24</v>
      </c>
      <c r="P15" s="41">
        <v>19525.54</v>
      </c>
      <c r="Q15" s="41">
        <v>500125.24</v>
      </c>
      <c r="R15" s="41">
        <v>0</v>
      </c>
      <c r="S15" s="55">
        <v>180</v>
      </c>
      <c r="T15" s="41">
        <v>30106.79</v>
      </c>
      <c r="U15" s="41">
        <v>0</v>
      </c>
      <c r="V15" s="41">
        <v>30106.79</v>
      </c>
      <c r="W15" s="56">
        <v>124</v>
      </c>
      <c r="X15" s="41">
        <v>530232.03</v>
      </c>
      <c r="Y15" s="45">
        <v>19525.54</v>
      </c>
      <c r="Z15" s="41">
        <v>530232.03</v>
      </c>
      <c r="AA15" s="56">
        <v>304</v>
      </c>
      <c r="AB15" s="56">
        <v>169</v>
      </c>
      <c r="AC15" s="55">
        <v>1322</v>
      </c>
      <c r="AD15" s="41">
        <v>0</v>
      </c>
      <c r="AE15" s="53">
        <v>38869</v>
      </c>
      <c r="AF15" s="53">
        <v>40547</v>
      </c>
      <c r="AG15" s="53">
        <v>40969</v>
      </c>
      <c r="AH15" s="53">
        <v>41439</v>
      </c>
      <c r="AI15" s="53">
        <v>41440</v>
      </c>
      <c r="AJ15" s="53">
        <v>41440</v>
      </c>
      <c r="AK15" s="57"/>
      <c r="AL15" s="57">
        <v>106.01985014793496</v>
      </c>
      <c r="AM15" s="57">
        <v>734.4444444444445</v>
      </c>
      <c r="AN15" s="57">
        <v>5.678040611767645</v>
      </c>
      <c r="AO15" s="57">
        <v>40.78947368421053</v>
      </c>
      <c r="AP15" s="57">
        <v>96.38157894736842</v>
      </c>
      <c r="AQ15" s="57">
        <v>0</v>
      </c>
      <c r="AR15" s="48">
        <v>100</v>
      </c>
      <c r="AS15" s="35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ht="13.5" customHeight="1">
      <c r="A16" s="36" t="s">
        <v>86</v>
      </c>
      <c r="B16" s="53">
        <v>40137</v>
      </c>
      <c r="C16" s="38" t="s">
        <v>6</v>
      </c>
      <c r="D16" s="36" t="s">
        <v>69</v>
      </c>
      <c r="E16" s="36">
        <v>37.24279722222222</v>
      </c>
      <c r="F16" s="36">
        <v>15.21371111111111</v>
      </c>
      <c r="G16" s="36" t="s">
        <v>69</v>
      </c>
      <c r="H16" s="36" t="s">
        <v>69</v>
      </c>
      <c r="I16" s="36" t="s">
        <v>70</v>
      </c>
      <c r="J16" s="38" t="s">
        <v>87</v>
      </c>
      <c r="K16" s="38"/>
      <c r="L16" s="54">
        <v>42460</v>
      </c>
      <c r="M16" s="28" t="s">
        <v>72</v>
      </c>
      <c r="N16" s="49" t="s">
        <v>73</v>
      </c>
      <c r="O16" s="41">
        <v>29310042.11</v>
      </c>
      <c r="P16" s="41">
        <v>1500000</v>
      </c>
      <c r="Q16" s="41">
        <v>29310042.11</v>
      </c>
      <c r="R16" s="41">
        <v>0</v>
      </c>
      <c r="S16" s="55">
        <v>580</v>
      </c>
      <c r="T16" s="41">
        <v>0</v>
      </c>
      <c r="U16" s="41">
        <v>0</v>
      </c>
      <c r="V16" s="41">
        <v>0</v>
      </c>
      <c r="W16" s="56">
        <v>0</v>
      </c>
      <c r="X16" s="41">
        <v>29310042.11</v>
      </c>
      <c r="Y16" s="45">
        <v>1500000</v>
      </c>
      <c r="Z16" s="41">
        <v>19001700.31</v>
      </c>
      <c r="AA16" s="56">
        <v>886</v>
      </c>
      <c r="AB16" s="56">
        <v>0</v>
      </c>
      <c r="AC16" s="55">
        <v>749</v>
      </c>
      <c r="AD16" s="41">
        <v>0</v>
      </c>
      <c r="AE16" s="53">
        <v>39843</v>
      </c>
      <c r="AF16" s="53">
        <v>41663</v>
      </c>
      <c r="AG16" s="53">
        <v>41711</v>
      </c>
      <c r="AH16" s="53">
        <v>42596</v>
      </c>
      <c r="AI16" s="53">
        <v>42614</v>
      </c>
      <c r="AJ16" s="53">
        <v>42614</v>
      </c>
      <c r="AK16" s="57"/>
      <c r="AL16" s="47">
        <f>_xlfn.IFERROR(Z16/O16*100,0)</f>
        <v>64.83000003441482</v>
      </c>
      <c r="AM16" s="47">
        <f>_xlfn.IFERROR(AC16/S16*100,0)</f>
        <v>129.13793103448276</v>
      </c>
      <c r="AN16" s="47">
        <f>_xlfn.IFERROR(V16/X16*100,0)</f>
        <v>0</v>
      </c>
      <c r="AO16" s="47">
        <f>_xlfn.IFERROR(W16/AA16*100,0)</f>
        <v>0</v>
      </c>
      <c r="AP16" s="47">
        <f>_xlfn.IFERROR(((W16+AB16)/AA16)*100,0)</f>
        <v>0</v>
      </c>
      <c r="AQ16" s="47">
        <f>_xlfn.IFERROR((AD16/O16)*100,0)</f>
        <v>0</v>
      </c>
      <c r="AR16" s="48">
        <f>_xlfn.IFERROR((Q16/O16)*100,0)</f>
        <v>100</v>
      </c>
      <c r="AS16" s="35" t="s">
        <v>74</v>
      </c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ht="13.5" customHeight="1">
      <c r="A17" s="36" t="s">
        <v>88</v>
      </c>
      <c r="B17" s="53">
        <v>42117</v>
      </c>
      <c r="C17" s="38" t="s">
        <v>6</v>
      </c>
      <c r="D17" s="36" t="s">
        <v>69</v>
      </c>
      <c r="E17" s="36"/>
      <c r="F17" s="36"/>
      <c r="G17" s="36" t="s">
        <v>69</v>
      </c>
      <c r="H17" s="36" t="s">
        <v>69</v>
      </c>
      <c r="I17" s="36" t="s">
        <v>70</v>
      </c>
      <c r="J17" s="38" t="s">
        <v>89</v>
      </c>
      <c r="K17" s="38"/>
      <c r="L17" s="54">
        <v>42460</v>
      </c>
      <c r="M17" s="28" t="s">
        <v>56</v>
      </c>
      <c r="N17" s="49" t="s">
        <v>67</v>
      </c>
      <c r="O17" s="41">
        <v>12000000</v>
      </c>
      <c r="P17" s="41">
        <v>90279.7</v>
      </c>
      <c r="Q17" s="41">
        <v>12000000</v>
      </c>
      <c r="R17" s="41">
        <v>0</v>
      </c>
      <c r="S17" s="55">
        <v>540</v>
      </c>
      <c r="T17" s="41">
        <v>0</v>
      </c>
      <c r="U17" s="41">
        <v>0</v>
      </c>
      <c r="V17" s="41">
        <v>0</v>
      </c>
      <c r="W17" s="56">
        <v>0</v>
      </c>
      <c r="X17" s="45">
        <v>0</v>
      </c>
      <c r="Y17" s="45">
        <v>0</v>
      </c>
      <c r="Z17" s="41">
        <v>0</v>
      </c>
      <c r="AA17" s="56">
        <v>540</v>
      </c>
      <c r="AB17" s="56">
        <v>0</v>
      </c>
      <c r="AC17" s="55">
        <v>-276</v>
      </c>
      <c r="AD17" s="41">
        <v>0</v>
      </c>
      <c r="AE17" s="53">
        <v>41205</v>
      </c>
      <c r="AF17" s="53">
        <v>42500</v>
      </c>
      <c r="AG17" s="53">
        <v>42736</v>
      </c>
      <c r="AH17" s="58">
        <v>39629</v>
      </c>
      <c r="AI17" s="53">
        <v>43282</v>
      </c>
      <c r="AJ17" s="53">
        <v>43282</v>
      </c>
      <c r="AK17" s="52" t="s">
        <v>77</v>
      </c>
      <c r="AL17" s="57">
        <v>0</v>
      </c>
      <c r="AM17" s="57">
        <v>-51.11111111111111</v>
      </c>
      <c r="AN17" s="57">
        <v>0</v>
      </c>
      <c r="AO17" s="57">
        <v>0</v>
      </c>
      <c r="AP17" s="57">
        <v>0</v>
      </c>
      <c r="AQ17" s="57">
        <v>0</v>
      </c>
      <c r="AR17" s="48">
        <v>100</v>
      </c>
      <c r="AS17" s="35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ht="13.5" customHeight="1">
      <c r="A18" s="36" t="s">
        <v>90</v>
      </c>
      <c r="B18" s="37">
        <v>41110</v>
      </c>
      <c r="C18" s="38" t="s">
        <v>6</v>
      </c>
      <c r="D18" s="36" t="s">
        <v>91</v>
      </c>
      <c r="E18" s="36">
        <v>40.65058055555556</v>
      </c>
      <c r="F18" s="36">
        <v>17.965680555555554</v>
      </c>
      <c r="G18" s="36" t="s">
        <v>91</v>
      </c>
      <c r="H18" s="36" t="s">
        <v>91</v>
      </c>
      <c r="I18" s="36" t="s">
        <v>91</v>
      </c>
      <c r="J18" s="38" t="s">
        <v>92</v>
      </c>
      <c r="K18" s="38"/>
      <c r="L18" s="39">
        <v>42093</v>
      </c>
      <c r="M18" s="28" t="s">
        <v>72</v>
      </c>
      <c r="N18" s="40" t="s">
        <v>93</v>
      </c>
      <c r="O18" s="42">
        <v>5675852.79</v>
      </c>
      <c r="P18" s="42">
        <v>231302.19</v>
      </c>
      <c r="Q18" s="42">
        <v>5675852.79</v>
      </c>
      <c r="R18" s="59">
        <v>0</v>
      </c>
      <c r="S18" s="43">
        <v>154</v>
      </c>
      <c r="T18" s="42">
        <v>541926.93</v>
      </c>
      <c r="U18" s="42">
        <v>7600</v>
      </c>
      <c r="V18" s="42">
        <v>549526.93</v>
      </c>
      <c r="W18" s="44">
        <v>72</v>
      </c>
      <c r="X18" s="42">
        <v>6217779.72</v>
      </c>
      <c r="Y18" s="45">
        <v>238902.19</v>
      </c>
      <c r="Z18" s="42">
        <v>2468640.32</v>
      </c>
      <c r="AA18" s="44">
        <v>226</v>
      </c>
      <c r="AB18" s="44">
        <v>92</v>
      </c>
      <c r="AC18" s="46">
        <v>540</v>
      </c>
      <c r="AD18" s="42">
        <v>145000</v>
      </c>
      <c r="AE18" s="37">
        <v>40228</v>
      </c>
      <c r="AF18" s="37">
        <v>40767</v>
      </c>
      <c r="AG18" s="37">
        <v>41827</v>
      </c>
      <c r="AH18" s="37">
        <v>42072</v>
      </c>
      <c r="AI18" s="60"/>
      <c r="AJ18" s="60"/>
      <c r="AK18" s="47"/>
      <c r="AL18" s="47">
        <f>_xlfn.IFERROR(Z18/O18*100,0)</f>
        <v>43.493734093128225</v>
      </c>
      <c r="AM18" s="47">
        <f>_xlfn.IFERROR(AC18/S18*100,0)</f>
        <v>350.64935064935065</v>
      </c>
      <c r="AN18" s="47">
        <f>_xlfn.IFERROR(V18/X18*100,0)</f>
        <v>8.837992896924307</v>
      </c>
      <c r="AO18" s="47">
        <f>_xlfn.IFERROR(W18/AA18*100,0)</f>
        <v>31.858407079646017</v>
      </c>
      <c r="AP18" s="47">
        <f>_xlfn.IFERROR(((W18+AB18)/AA18)*100,0)</f>
        <v>72.56637168141593</v>
      </c>
      <c r="AQ18" s="47">
        <f>_xlfn.IFERROR((AD18/O18)*100,0)</f>
        <v>2.5546821837146343</v>
      </c>
      <c r="AR18" s="48">
        <f>_xlfn.IFERROR((Q18/O18)*100,0)</f>
        <v>100</v>
      </c>
      <c r="AS18" s="35" t="s">
        <v>74</v>
      </c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ht="13.5" customHeight="1">
      <c r="A19" s="36" t="s">
        <v>94</v>
      </c>
      <c r="B19" s="37">
        <v>40199</v>
      </c>
      <c r="C19" s="38" t="s">
        <v>6</v>
      </c>
      <c r="D19" s="36" t="s">
        <v>91</v>
      </c>
      <c r="E19" s="36">
        <v>40.65058055555556</v>
      </c>
      <c r="F19" s="36">
        <v>17.965680555555554</v>
      </c>
      <c r="G19" s="36" t="s">
        <v>91</v>
      </c>
      <c r="H19" s="36" t="s">
        <v>91</v>
      </c>
      <c r="I19" s="36" t="s">
        <v>91</v>
      </c>
      <c r="J19" s="38" t="s">
        <v>95</v>
      </c>
      <c r="K19" s="38"/>
      <c r="L19" s="39">
        <v>42093</v>
      </c>
      <c r="M19" s="28" t="s">
        <v>72</v>
      </c>
      <c r="N19" s="40" t="s">
        <v>93</v>
      </c>
      <c r="O19" s="42">
        <v>3378647.45</v>
      </c>
      <c r="P19" s="42">
        <v>167706.45</v>
      </c>
      <c r="Q19" s="42">
        <v>3378647.45</v>
      </c>
      <c r="R19" s="59">
        <v>0</v>
      </c>
      <c r="S19" s="43">
        <v>270</v>
      </c>
      <c r="T19" s="42">
        <v>754396.14</v>
      </c>
      <c r="U19" s="42">
        <v>94286.43</v>
      </c>
      <c r="V19" s="42">
        <v>848682.5700000001</v>
      </c>
      <c r="W19" s="44">
        <v>240</v>
      </c>
      <c r="X19" s="42">
        <v>4133043.5900000003</v>
      </c>
      <c r="Y19" s="45">
        <v>261992.88</v>
      </c>
      <c r="Z19" s="42">
        <v>3854567.42</v>
      </c>
      <c r="AA19" s="44">
        <v>510</v>
      </c>
      <c r="AB19" s="44">
        <v>1429</v>
      </c>
      <c r="AC19" s="46">
        <v>545</v>
      </c>
      <c r="AD19" s="42">
        <v>270000</v>
      </c>
      <c r="AE19" s="37">
        <v>36861</v>
      </c>
      <c r="AF19" s="37">
        <v>40162</v>
      </c>
      <c r="AG19" s="37">
        <v>40485</v>
      </c>
      <c r="AH19" s="37">
        <v>42551</v>
      </c>
      <c r="AI19" s="60"/>
      <c r="AJ19" s="60"/>
      <c r="AK19" s="47"/>
      <c r="AL19" s="47">
        <f>_xlfn.IFERROR(Z19/O19*100,0)</f>
        <v>114.08610922101386</v>
      </c>
      <c r="AM19" s="47">
        <f>_xlfn.IFERROR(AC19/S19*100,0)</f>
        <v>201.85185185185185</v>
      </c>
      <c r="AN19" s="47">
        <f>_xlfn.IFERROR(V19/X19*100,0)</f>
        <v>20.534082245186287</v>
      </c>
      <c r="AO19" s="47">
        <f>_xlfn.IFERROR(W19/AA19*100,0)</f>
        <v>47.05882352941176</v>
      </c>
      <c r="AP19" s="47">
        <f>_xlfn.IFERROR(((W19+AB19)/AA19)*100,0)</f>
        <v>327.2549019607843</v>
      </c>
      <c r="AQ19" s="47">
        <f>_xlfn.IFERROR((AD19/O19)*100,0)</f>
        <v>7.991363526253678</v>
      </c>
      <c r="AR19" s="48">
        <f>_xlfn.IFERROR((Q19/O19)*100,0)</f>
        <v>100</v>
      </c>
      <c r="AS19" s="35" t="s">
        <v>74</v>
      </c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ht="13.5" customHeight="1">
      <c r="A20" s="36" t="s">
        <v>96</v>
      </c>
      <c r="B20" s="37">
        <v>40143</v>
      </c>
      <c r="C20" s="38" t="s">
        <v>6</v>
      </c>
      <c r="D20" s="36" t="s">
        <v>91</v>
      </c>
      <c r="E20" s="36">
        <v>40.65058055555556</v>
      </c>
      <c r="F20" s="36">
        <v>17.965680555555554</v>
      </c>
      <c r="G20" s="36" t="s">
        <v>91</v>
      </c>
      <c r="H20" s="36" t="s">
        <v>91</v>
      </c>
      <c r="I20" s="36" t="s">
        <v>91</v>
      </c>
      <c r="J20" s="38" t="s">
        <v>97</v>
      </c>
      <c r="K20" s="38"/>
      <c r="L20" s="39">
        <v>42093</v>
      </c>
      <c r="M20" s="28" t="s">
        <v>72</v>
      </c>
      <c r="N20" s="40" t="s">
        <v>93</v>
      </c>
      <c r="O20" s="42">
        <v>10272457.16</v>
      </c>
      <c r="P20" s="42">
        <v>205630</v>
      </c>
      <c r="Q20" s="42">
        <v>10272457.16</v>
      </c>
      <c r="R20" s="59">
        <v>0</v>
      </c>
      <c r="S20" s="43">
        <v>334</v>
      </c>
      <c r="T20" s="59">
        <v>0</v>
      </c>
      <c r="U20" s="59">
        <v>0</v>
      </c>
      <c r="V20" s="59">
        <v>0</v>
      </c>
      <c r="W20" s="61">
        <v>0</v>
      </c>
      <c r="X20" s="42">
        <v>10272457.16</v>
      </c>
      <c r="Y20" s="42">
        <v>205630</v>
      </c>
      <c r="Z20" s="42">
        <v>6273009.61</v>
      </c>
      <c r="AA20" s="44">
        <v>334</v>
      </c>
      <c r="AB20" s="61">
        <v>0</v>
      </c>
      <c r="AC20" s="46">
        <v>331</v>
      </c>
      <c r="AD20" s="42">
        <v>1883430</v>
      </c>
      <c r="AE20" s="37">
        <v>39765</v>
      </c>
      <c r="AF20" s="37">
        <v>41173</v>
      </c>
      <c r="AG20" s="37">
        <v>42128</v>
      </c>
      <c r="AH20" s="37">
        <v>42612</v>
      </c>
      <c r="AI20" s="60"/>
      <c r="AJ20" s="60"/>
      <c r="AK20" s="47"/>
      <c r="AL20" s="47">
        <f>_xlfn.IFERROR(Z20/O20*100,0)</f>
        <v>61.06630100563009</v>
      </c>
      <c r="AM20" s="47">
        <f>_xlfn.IFERROR(AC20/S20*100,0)</f>
        <v>99.10179640718563</v>
      </c>
      <c r="AN20" s="47">
        <f>_xlfn.IFERROR(V20/X20*100,0)</f>
        <v>0</v>
      </c>
      <c r="AO20" s="47">
        <f>_xlfn.IFERROR(W20/AA20*100,0)</f>
        <v>0</v>
      </c>
      <c r="AP20" s="47">
        <f>_xlfn.IFERROR(((W20+AB20)/AA20)*100,0)</f>
        <v>0</v>
      </c>
      <c r="AQ20" s="47">
        <f>_xlfn.IFERROR((AD20/O20)*100,0)</f>
        <v>18.334756433289424</v>
      </c>
      <c r="AR20" s="48">
        <f>_xlfn.IFERROR((Q20/O20)*100,0)</f>
        <v>100</v>
      </c>
      <c r="AS20" s="35" t="s">
        <v>74</v>
      </c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ht="13.5" customHeight="1">
      <c r="A21" s="36" t="s">
        <v>98</v>
      </c>
      <c r="B21" s="37">
        <v>41730</v>
      </c>
      <c r="C21" s="38" t="s">
        <v>6</v>
      </c>
      <c r="D21" s="36" t="s">
        <v>91</v>
      </c>
      <c r="E21" s="36"/>
      <c r="F21" s="36"/>
      <c r="G21" s="36" t="s">
        <v>91</v>
      </c>
      <c r="H21" s="36" t="s">
        <v>91</v>
      </c>
      <c r="I21" s="36" t="s">
        <v>91</v>
      </c>
      <c r="J21" s="38" t="s">
        <v>99</v>
      </c>
      <c r="K21" s="38"/>
      <c r="L21" s="39">
        <v>42093</v>
      </c>
      <c r="M21" s="28" t="s">
        <v>56</v>
      </c>
      <c r="N21" s="40" t="s">
        <v>100</v>
      </c>
      <c r="O21" s="59">
        <v>0</v>
      </c>
      <c r="P21" s="59">
        <v>0</v>
      </c>
      <c r="Q21" s="59">
        <v>0</v>
      </c>
      <c r="R21" s="59">
        <v>0</v>
      </c>
      <c r="S21" s="62">
        <v>0</v>
      </c>
      <c r="T21" s="59">
        <v>0</v>
      </c>
      <c r="U21" s="59">
        <v>0</v>
      </c>
      <c r="V21" s="59">
        <v>0</v>
      </c>
      <c r="W21" s="61">
        <v>0</v>
      </c>
      <c r="X21" s="59">
        <v>0</v>
      </c>
      <c r="Y21" s="45">
        <v>0</v>
      </c>
      <c r="Z21" s="59">
        <v>0</v>
      </c>
      <c r="AA21" s="61">
        <v>0</v>
      </c>
      <c r="AB21" s="61">
        <v>0</v>
      </c>
      <c r="AC21" s="63">
        <v>0</v>
      </c>
      <c r="AD21" s="59">
        <v>0</v>
      </c>
      <c r="AE21" s="60"/>
      <c r="AF21" s="60"/>
      <c r="AG21" s="60"/>
      <c r="AH21" s="38"/>
      <c r="AI21" s="38"/>
      <c r="AJ21" s="38"/>
      <c r="AK21" s="47"/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8">
        <v>0</v>
      </c>
      <c r="AS21" s="35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55" ht="13.5" customHeight="1">
      <c r="A22" s="36" t="s">
        <v>101</v>
      </c>
      <c r="B22" s="37">
        <v>40592</v>
      </c>
      <c r="C22" s="38" t="s">
        <v>6</v>
      </c>
      <c r="D22" s="36" t="s">
        <v>91</v>
      </c>
      <c r="E22" s="36"/>
      <c r="F22" s="36"/>
      <c r="G22" s="36" t="s">
        <v>91</v>
      </c>
      <c r="H22" s="36" t="s">
        <v>91</v>
      </c>
      <c r="I22" s="36" t="s">
        <v>91</v>
      </c>
      <c r="J22" s="38" t="s">
        <v>102</v>
      </c>
      <c r="K22" s="38"/>
      <c r="L22" s="39">
        <v>42093</v>
      </c>
      <c r="M22" s="28" t="s">
        <v>56</v>
      </c>
      <c r="N22" s="40" t="s">
        <v>103</v>
      </c>
      <c r="O22" s="59">
        <v>0</v>
      </c>
      <c r="P22" s="59">
        <v>0</v>
      </c>
      <c r="Q22" s="59">
        <v>0</v>
      </c>
      <c r="R22" s="59">
        <v>0</v>
      </c>
      <c r="S22" s="62">
        <v>0</v>
      </c>
      <c r="T22" s="59">
        <v>0</v>
      </c>
      <c r="U22" s="59">
        <v>0</v>
      </c>
      <c r="V22" s="59">
        <v>0</v>
      </c>
      <c r="W22" s="61">
        <v>0</v>
      </c>
      <c r="X22" s="59">
        <v>0</v>
      </c>
      <c r="Y22" s="45">
        <v>0</v>
      </c>
      <c r="Z22" s="59">
        <v>0</v>
      </c>
      <c r="AA22" s="61">
        <v>0</v>
      </c>
      <c r="AB22" s="61">
        <v>0</v>
      </c>
      <c r="AC22" s="63">
        <v>0</v>
      </c>
      <c r="AD22" s="59">
        <v>0</v>
      </c>
      <c r="AE22" s="60"/>
      <c r="AF22" s="60"/>
      <c r="AG22" s="60"/>
      <c r="AH22" s="60"/>
      <c r="AI22" s="38"/>
      <c r="AJ22" s="38"/>
      <c r="AK22" s="47"/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8">
        <v>0</v>
      </c>
      <c r="AS22" s="35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55" ht="13.5" customHeight="1">
      <c r="A23" s="64" t="s">
        <v>104</v>
      </c>
      <c r="B23" s="37">
        <v>42156</v>
      </c>
      <c r="C23" s="38" t="s">
        <v>6</v>
      </c>
      <c r="D23" s="36" t="s">
        <v>105</v>
      </c>
      <c r="E23" s="36"/>
      <c r="F23" s="36"/>
      <c r="G23" s="36" t="s">
        <v>106</v>
      </c>
      <c r="H23" s="36" t="s">
        <v>105</v>
      </c>
      <c r="I23" s="36" t="s">
        <v>105</v>
      </c>
      <c r="J23" s="38" t="s">
        <v>107</v>
      </c>
      <c r="K23" s="38"/>
      <c r="L23" s="39">
        <v>42459</v>
      </c>
      <c r="M23" s="28" t="s">
        <v>56</v>
      </c>
      <c r="N23" s="40" t="s">
        <v>67</v>
      </c>
      <c r="O23" s="42">
        <v>0</v>
      </c>
      <c r="P23" s="42">
        <v>0</v>
      </c>
      <c r="Q23" s="59">
        <v>0</v>
      </c>
      <c r="R23" s="42">
        <v>0</v>
      </c>
      <c r="S23" s="43">
        <v>0</v>
      </c>
      <c r="T23" s="42">
        <v>0</v>
      </c>
      <c r="U23" s="42">
        <v>0</v>
      </c>
      <c r="V23" s="42">
        <v>0</v>
      </c>
      <c r="W23" s="44">
        <v>0</v>
      </c>
      <c r="X23" s="42">
        <v>0</v>
      </c>
      <c r="Y23" s="45">
        <v>0</v>
      </c>
      <c r="Z23" s="42">
        <v>0</v>
      </c>
      <c r="AA23" s="44">
        <v>0</v>
      </c>
      <c r="AB23" s="44">
        <v>0</v>
      </c>
      <c r="AC23" s="46">
        <v>0</v>
      </c>
      <c r="AD23" s="42">
        <v>0</v>
      </c>
      <c r="AE23" s="37">
        <v>41597</v>
      </c>
      <c r="AF23" s="60"/>
      <c r="AG23" s="60"/>
      <c r="AH23" s="60"/>
      <c r="AI23" s="38"/>
      <c r="AJ23" s="38"/>
      <c r="AK23" s="47"/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8">
        <v>0</v>
      </c>
      <c r="AS23" s="35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55" ht="13.5" customHeight="1">
      <c r="A24" s="64" t="s">
        <v>108</v>
      </c>
      <c r="B24" s="37">
        <v>42061</v>
      </c>
      <c r="C24" s="38" t="s">
        <v>6</v>
      </c>
      <c r="D24" s="36" t="s">
        <v>105</v>
      </c>
      <c r="E24" s="36"/>
      <c r="F24" s="36"/>
      <c r="G24" s="36" t="s">
        <v>109</v>
      </c>
      <c r="H24" s="36" t="s">
        <v>105</v>
      </c>
      <c r="I24" s="36" t="s">
        <v>105</v>
      </c>
      <c r="J24" s="38" t="s">
        <v>110</v>
      </c>
      <c r="K24" s="38"/>
      <c r="L24" s="39">
        <v>42459</v>
      </c>
      <c r="M24" s="13" t="s">
        <v>49</v>
      </c>
      <c r="N24" s="40" t="s">
        <v>50</v>
      </c>
      <c r="O24" s="42">
        <v>180463.45</v>
      </c>
      <c r="P24" s="42">
        <v>6788.71</v>
      </c>
      <c r="Q24" s="42">
        <v>180463.45</v>
      </c>
      <c r="R24" s="42">
        <v>0</v>
      </c>
      <c r="S24" s="43">
        <v>97</v>
      </c>
      <c r="T24" s="42">
        <v>1262.51</v>
      </c>
      <c r="U24" s="42">
        <v>0</v>
      </c>
      <c r="V24" s="42">
        <v>1262.51</v>
      </c>
      <c r="W24" s="44">
        <v>0</v>
      </c>
      <c r="X24" s="42">
        <v>181725.96000000002</v>
      </c>
      <c r="Y24" s="45">
        <v>6788.71</v>
      </c>
      <c r="Z24" s="42">
        <v>181725.96000000002</v>
      </c>
      <c r="AA24" s="44">
        <v>97</v>
      </c>
      <c r="AB24" s="44">
        <v>0</v>
      </c>
      <c r="AC24" s="46">
        <v>303</v>
      </c>
      <c r="AD24" s="42">
        <v>0</v>
      </c>
      <c r="AE24" s="37">
        <v>41514</v>
      </c>
      <c r="AF24" s="37">
        <v>41955</v>
      </c>
      <c r="AG24" s="37">
        <v>42156</v>
      </c>
      <c r="AH24" s="37">
        <v>42253</v>
      </c>
      <c r="AI24" s="37">
        <v>42254</v>
      </c>
      <c r="AJ24" s="37">
        <v>42254</v>
      </c>
      <c r="AK24" s="47"/>
      <c r="AL24" s="47">
        <v>100.69959318632111</v>
      </c>
      <c r="AM24" s="47">
        <v>312.37113402061857</v>
      </c>
      <c r="AN24" s="47">
        <v>0.6947328824126173</v>
      </c>
      <c r="AO24" s="47">
        <v>0</v>
      </c>
      <c r="AP24" s="47">
        <v>0</v>
      </c>
      <c r="AQ24" s="47">
        <v>0</v>
      </c>
      <c r="AR24" s="48">
        <v>100</v>
      </c>
      <c r="AS24" s="35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55" ht="13.5" customHeight="1">
      <c r="A25" s="64" t="s">
        <v>111</v>
      </c>
      <c r="B25" s="37">
        <v>39315</v>
      </c>
      <c r="C25" s="38" t="s">
        <v>6</v>
      </c>
      <c r="D25" s="36" t="s">
        <v>105</v>
      </c>
      <c r="E25" s="36"/>
      <c r="F25" s="36"/>
      <c r="G25" s="36" t="s">
        <v>106</v>
      </c>
      <c r="H25" s="36" t="s">
        <v>105</v>
      </c>
      <c r="I25" s="36" t="s">
        <v>105</v>
      </c>
      <c r="J25" s="38" t="s">
        <v>112</v>
      </c>
      <c r="K25" s="38"/>
      <c r="L25" s="39">
        <v>42459</v>
      </c>
      <c r="M25" s="13" t="s">
        <v>49</v>
      </c>
      <c r="N25" s="40" t="s">
        <v>50</v>
      </c>
      <c r="O25" s="42">
        <v>13108705.02</v>
      </c>
      <c r="P25" s="42">
        <v>554675</v>
      </c>
      <c r="Q25" s="42">
        <v>13108705.02</v>
      </c>
      <c r="R25" s="42">
        <v>0</v>
      </c>
      <c r="S25" s="43">
        <v>900</v>
      </c>
      <c r="T25" s="42">
        <v>2225851.25</v>
      </c>
      <c r="U25" s="42">
        <v>55000</v>
      </c>
      <c r="V25" s="42">
        <v>2280851.25</v>
      </c>
      <c r="W25" s="44">
        <v>1407</v>
      </c>
      <c r="X25" s="42">
        <v>15389556.27</v>
      </c>
      <c r="Y25" s="45">
        <v>609675</v>
      </c>
      <c r="Z25" s="42">
        <v>15389556.27</v>
      </c>
      <c r="AA25" s="44">
        <v>2307</v>
      </c>
      <c r="AB25" s="44">
        <v>0</v>
      </c>
      <c r="AC25" s="46">
        <v>3064</v>
      </c>
      <c r="AD25" s="42">
        <v>3467180.61</v>
      </c>
      <c r="AE25" s="37">
        <v>36187</v>
      </c>
      <c r="AF25" s="37">
        <v>38352</v>
      </c>
      <c r="AG25" s="37">
        <v>39395</v>
      </c>
      <c r="AH25" s="37">
        <v>40802</v>
      </c>
      <c r="AI25" s="37">
        <v>40803</v>
      </c>
      <c r="AJ25" s="37">
        <v>40803</v>
      </c>
      <c r="AK25" s="47"/>
      <c r="AL25" s="47">
        <v>117.39951617280346</v>
      </c>
      <c r="AM25" s="47">
        <v>340.44444444444446</v>
      </c>
      <c r="AN25" s="47">
        <v>14.820773321750883</v>
      </c>
      <c r="AO25" s="47">
        <v>60.98829648894668</v>
      </c>
      <c r="AP25" s="47">
        <v>60.98829648894668</v>
      </c>
      <c r="AQ25" s="47">
        <v>26.44945175522761</v>
      </c>
      <c r="AR25" s="24">
        <v>100</v>
      </c>
      <c r="AS25" s="35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ht="13.5" customHeight="1">
      <c r="A26" s="64" t="s">
        <v>113</v>
      </c>
      <c r="B26" s="37">
        <v>40479</v>
      </c>
      <c r="C26" s="38" t="s">
        <v>6</v>
      </c>
      <c r="D26" s="36" t="s">
        <v>105</v>
      </c>
      <c r="E26" s="36"/>
      <c r="F26" s="36"/>
      <c r="G26" s="36" t="s">
        <v>106</v>
      </c>
      <c r="H26" s="36" t="s">
        <v>105</v>
      </c>
      <c r="I26" s="36" t="s">
        <v>105</v>
      </c>
      <c r="J26" s="38" t="s">
        <v>114</v>
      </c>
      <c r="K26" s="38"/>
      <c r="L26" s="39">
        <v>42459</v>
      </c>
      <c r="M26" s="28" t="s">
        <v>56</v>
      </c>
      <c r="N26" s="40" t="s">
        <v>67</v>
      </c>
      <c r="O26" s="42">
        <v>0</v>
      </c>
      <c r="P26" s="42">
        <v>0</v>
      </c>
      <c r="Q26" s="59">
        <v>0</v>
      </c>
      <c r="R26" s="42">
        <v>0</v>
      </c>
      <c r="S26" s="43">
        <v>0</v>
      </c>
      <c r="T26" s="42">
        <v>0</v>
      </c>
      <c r="U26" s="42">
        <v>0</v>
      </c>
      <c r="V26" s="42">
        <v>0</v>
      </c>
      <c r="W26" s="44">
        <v>0</v>
      </c>
      <c r="X26" s="42">
        <v>0</v>
      </c>
      <c r="Y26" s="45">
        <v>0</v>
      </c>
      <c r="Z26" s="42">
        <v>0</v>
      </c>
      <c r="AA26" s="44">
        <v>0</v>
      </c>
      <c r="AB26" s="44">
        <v>0</v>
      </c>
      <c r="AC26" s="46">
        <v>0</v>
      </c>
      <c r="AD26" s="42">
        <v>0</v>
      </c>
      <c r="AE26" s="37">
        <v>38203</v>
      </c>
      <c r="AF26" s="60"/>
      <c r="AG26" s="60"/>
      <c r="AH26" s="60"/>
      <c r="AI26" s="60"/>
      <c r="AJ26" s="60"/>
      <c r="AK26" s="47"/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8">
        <v>0</v>
      </c>
      <c r="AS26" s="35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ht="13.5" customHeight="1">
      <c r="A27" s="64" t="s">
        <v>115</v>
      </c>
      <c r="B27" s="37">
        <v>41607</v>
      </c>
      <c r="C27" s="38" t="s">
        <v>6</v>
      </c>
      <c r="D27" s="36" t="s">
        <v>105</v>
      </c>
      <c r="E27" s="36"/>
      <c r="F27" s="36"/>
      <c r="G27" s="36" t="s">
        <v>106</v>
      </c>
      <c r="H27" s="36" t="s">
        <v>105</v>
      </c>
      <c r="I27" s="36" t="s">
        <v>105</v>
      </c>
      <c r="J27" s="38" t="s">
        <v>116</v>
      </c>
      <c r="K27" s="38"/>
      <c r="L27" s="39">
        <v>42459</v>
      </c>
      <c r="M27" s="28" t="s">
        <v>56</v>
      </c>
      <c r="N27" s="40" t="s">
        <v>67</v>
      </c>
      <c r="O27" s="42">
        <v>0</v>
      </c>
      <c r="P27" s="42">
        <v>0</v>
      </c>
      <c r="Q27" s="59">
        <v>0</v>
      </c>
      <c r="R27" s="42">
        <v>0</v>
      </c>
      <c r="S27" s="43">
        <v>0</v>
      </c>
      <c r="T27" s="42">
        <v>0</v>
      </c>
      <c r="U27" s="42">
        <v>0</v>
      </c>
      <c r="V27" s="42">
        <v>0</v>
      </c>
      <c r="W27" s="44">
        <v>0</v>
      </c>
      <c r="X27" s="42">
        <v>0</v>
      </c>
      <c r="Y27" s="45">
        <v>0</v>
      </c>
      <c r="Z27" s="42">
        <v>0</v>
      </c>
      <c r="AA27" s="44">
        <v>0</v>
      </c>
      <c r="AB27" s="44">
        <v>0</v>
      </c>
      <c r="AC27" s="46">
        <v>0</v>
      </c>
      <c r="AD27" s="42">
        <v>0</v>
      </c>
      <c r="AE27" s="37">
        <v>41106</v>
      </c>
      <c r="AF27" s="37">
        <v>41606</v>
      </c>
      <c r="AG27" s="60"/>
      <c r="AH27" s="60"/>
      <c r="AI27" s="60"/>
      <c r="AJ27" s="60"/>
      <c r="AK27" s="47"/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8">
        <v>0</v>
      </c>
      <c r="AS27" s="35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ht="13.5" customHeight="1">
      <c r="A28" s="64" t="s">
        <v>117</v>
      </c>
      <c r="B28" s="37">
        <v>42156</v>
      </c>
      <c r="C28" s="38" t="s">
        <v>6</v>
      </c>
      <c r="D28" s="36" t="s">
        <v>105</v>
      </c>
      <c r="E28" s="36"/>
      <c r="F28" s="36"/>
      <c r="G28" s="36" t="s">
        <v>106</v>
      </c>
      <c r="H28" s="36" t="s">
        <v>105</v>
      </c>
      <c r="I28" s="36" t="s">
        <v>105</v>
      </c>
      <c r="J28" s="38" t="s">
        <v>118</v>
      </c>
      <c r="K28" s="38"/>
      <c r="L28" s="39">
        <v>42459</v>
      </c>
      <c r="M28" s="28" t="s">
        <v>56</v>
      </c>
      <c r="N28" s="40" t="s">
        <v>67</v>
      </c>
      <c r="O28" s="42">
        <v>0</v>
      </c>
      <c r="P28" s="42">
        <v>0</v>
      </c>
      <c r="Q28" s="59">
        <v>0</v>
      </c>
      <c r="R28" s="42">
        <v>0</v>
      </c>
      <c r="S28" s="43">
        <v>0</v>
      </c>
      <c r="T28" s="42">
        <v>0</v>
      </c>
      <c r="U28" s="42">
        <v>0</v>
      </c>
      <c r="V28" s="42">
        <v>0</v>
      </c>
      <c r="W28" s="44">
        <v>0</v>
      </c>
      <c r="X28" s="42">
        <v>0</v>
      </c>
      <c r="Y28" s="45">
        <v>0</v>
      </c>
      <c r="Z28" s="42">
        <v>0</v>
      </c>
      <c r="AA28" s="44">
        <v>0</v>
      </c>
      <c r="AB28" s="44">
        <v>0</v>
      </c>
      <c r="AC28" s="46">
        <v>0</v>
      </c>
      <c r="AD28" s="42">
        <v>0</v>
      </c>
      <c r="AE28" s="37">
        <v>38529</v>
      </c>
      <c r="AF28" s="60"/>
      <c r="AG28" s="60"/>
      <c r="AH28" s="60"/>
      <c r="AI28" s="60"/>
      <c r="AJ28" s="60"/>
      <c r="AK28" s="47"/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8">
        <v>0</v>
      </c>
      <c r="AS28" s="35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  <row r="29" spans="1:55" ht="13.5" customHeight="1">
      <c r="A29" s="64" t="s">
        <v>119</v>
      </c>
      <c r="B29" s="37">
        <v>41127</v>
      </c>
      <c r="C29" s="38" t="s">
        <v>6</v>
      </c>
      <c r="D29" s="36" t="s">
        <v>105</v>
      </c>
      <c r="E29" s="36"/>
      <c r="F29" s="36"/>
      <c r="G29" s="36" t="s">
        <v>106</v>
      </c>
      <c r="H29" s="36" t="s">
        <v>105</v>
      </c>
      <c r="I29" s="36" t="s">
        <v>105</v>
      </c>
      <c r="J29" s="38" t="s">
        <v>120</v>
      </c>
      <c r="K29" s="38"/>
      <c r="L29" s="39">
        <v>42459</v>
      </c>
      <c r="M29" s="13" t="s">
        <v>49</v>
      </c>
      <c r="N29" s="40" t="s">
        <v>50</v>
      </c>
      <c r="O29" s="42">
        <v>1170131.89</v>
      </c>
      <c r="P29" s="42">
        <v>20581.27</v>
      </c>
      <c r="Q29" s="42">
        <v>1170131.89</v>
      </c>
      <c r="R29" s="42">
        <v>0</v>
      </c>
      <c r="S29" s="43">
        <v>230</v>
      </c>
      <c r="T29" s="42">
        <v>0</v>
      </c>
      <c r="U29" s="42">
        <v>0</v>
      </c>
      <c r="V29" s="42">
        <v>0</v>
      </c>
      <c r="W29" s="44">
        <v>0</v>
      </c>
      <c r="X29" s="42">
        <v>1170131.89</v>
      </c>
      <c r="Y29" s="45">
        <v>20581.27</v>
      </c>
      <c r="Z29" s="42">
        <v>1170131.89</v>
      </c>
      <c r="AA29" s="44">
        <v>230</v>
      </c>
      <c r="AB29" s="44">
        <v>0</v>
      </c>
      <c r="AC29" s="46">
        <v>973</v>
      </c>
      <c r="AD29" s="42">
        <v>0</v>
      </c>
      <c r="AE29" s="37">
        <v>40941</v>
      </c>
      <c r="AF29" s="37">
        <v>41122</v>
      </c>
      <c r="AG29" s="37">
        <v>41486</v>
      </c>
      <c r="AH29" s="37">
        <v>41755</v>
      </c>
      <c r="AI29" s="37">
        <v>41756</v>
      </c>
      <c r="AJ29" s="37">
        <v>41756</v>
      </c>
      <c r="AK29" s="47"/>
      <c r="AL29" s="47">
        <v>100</v>
      </c>
      <c r="AM29" s="47">
        <v>423.04347826086956</v>
      </c>
      <c r="AN29" s="47">
        <v>0</v>
      </c>
      <c r="AO29" s="47">
        <v>0</v>
      </c>
      <c r="AP29" s="47">
        <v>0</v>
      </c>
      <c r="AQ29" s="47">
        <v>0</v>
      </c>
      <c r="AR29" s="48">
        <v>100</v>
      </c>
      <c r="AS29" s="35"/>
      <c r="AT29" s="26"/>
      <c r="AU29" s="26"/>
      <c r="AV29" s="26"/>
      <c r="AW29" s="26"/>
      <c r="AX29" s="26"/>
      <c r="AY29" s="26"/>
      <c r="AZ29" s="26"/>
      <c r="BA29" s="26"/>
      <c r="BB29" s="26"/>
      <c r="BC29" s="26"/>
    </row>
    <row r="30" spans="1:55" ht="13.5" customHeight="1">
      <c r="A30" s="64" t="s">
        <v>121</v>
      </c>
      <c r="B30" s="37">
        <v>38971</v>
      </c>
      <c r="C30" s="38" t="s">
        <v>6</v>
      </c>
      <c r="D30" s="36" t="s">
        <v>105</v>
      </c>
      <c r="E30" s="36"/>
      <c r="F30" s="36"/>
      <c r="G30" s="36" t="s">
        <v>109</v>
      </c>
      <c r="H30" s="36" t="s">
        <v>105</v>
      </c>
      <c r="I30" s="36" t="s">
        <v>105</v>
      </c>
      <c r="J30" s="38" t="s">
        <v>122</v>
      </c>
      <c r="K30" s="38"/>
      <c r="L30" s="39">
        <v>42459</v>
      </c>
      <c r="M30" s="13" t="s">
        <v>49</v>
      </c>
      <c r="N30" s="40" t="s">
        <v>50</v>
      </c>
      <c r="O30" s="42">
        <v>1546342.37</v>
      </c>
      <c r="P30" s="42">
        <v>52000</v>
      </c>
      <c r="Q30" s="42">
        <v>1546342.37</v>
      </c>
      <c r="R30" s="42">
        <v>0</v>
      </c>
      <c r="S30" s="43">
        <v>180</v>
      </c>
      <c r="T30" s="42">
        <v>687032.8</v>
      </c>
      <c r="U30" s="42">
        <v>12025.65</v>
      </c>
      <c r="V30" s="42">
        <v>699058.4500000001</v>
      </c>
      <c r="W30" s="44">
        <v>1553</v>
      </c>
      <c r="X30" s="42">
        <v>2245400.82</v>
      </c>
      <c r="Y30" s="45">
        <v>64025.65</v>
      </c>
      <c r="Z30" s="42">
        <v>2245400.82</v>
      </c>
      <c r="AA30" s="44">
        <v>1733</v>
      </c>
      <c r="AB30" s="44">
        <v>0</v>
      </c>
      <c r="AC30" s="46">
        <v>3459</v>
      </c>
      <c r="AD30" s="42">
        <v>0</v>
      </c>
      <c r="AE30" s="37">
        <v>38700</v>
      </c>
      <c r="AF30" s="37">
        <v>38866</v>
      </c>
      <c r="AG30" s="37">
        <v>39000</v>
      </c>
      <c r="AH30" s="37">
        <v>40368</v>
      </c>
      <c r="AI30" s="37">
        <v>40369</v>
      </c>
      <c r="AJ30" s="37">
        <v>40369</v>
      </c>
      <c r="AK30" s="47"/>
      <c r="AL30" s="47">
        <v>145.20722341715307</v>
      </c>
      <c r="AM30" s="47">
        <v>1921.6666666666665</v>
      </c>
      <c r="AN30" s="47">
        <v>31.13290258796646</v>
      </c>
      <c r="AO30" s="47">
        <v>89.61338718984419</v>
      </c>
      <c r="AP30" s="47">
        <v>89.61338718984419</v>
      </c>
      <c r="AQ30" s="47">
        <v>0</v>
      </c>
      <c r="AR30" s="48">
        <v>100</v>
      </c>
      <c r="AS30" s="35"/>
      <c r="AT30" s="26"/>
      <c r="AU30" s="26"/>
      <c r="AV30" s="26"/>
      <c r="AW30" s="26"/>
      <c r="AX30" s="26"/>
      <c r="AY30" s="26"/>
      <c r="AZ30" s="26"/>
      <c r="BA30" s="26"/>
      <c r="BB30" s="26"/>
      <c r="BC30" s="26"/>
    </row>
    <row r="31" spans="1:55" ht="13.5" customHeight="1">
      <c r="A31" s="64" t="s">
        <v>123</v>
      </c>
      <c r="B31" s="37">
        <v>41452</v>
      </c>
      <c r="C31" s="38" t="s">
        <v>6</v>
      </c>
      <c r="D31" s="36" t="s">
        <v>105</v>
      </c>
      <c r="E31" s="36"/>
      <c r="F31" s="36"/>
      <c r="G31" s="36" t="s">
        <v>106</v>
      </c>
      <c r="H31" s="36" t="s">
        <v>105</v>
      </c>
      <c r="I31" s="36" t="s">
        <v>105</v>
      </c>
      <c r="J31" s="38" t="s">
        <v>124</v>
      </c>
      <c r="K31" s="38"/>
      <c r="L31" s="39">
        <v>42459</v>
      </c>
      <c r="M31" s="13" t="s">
        <v>49</v>
      </c>
      <c r="N31" s="40" t="s">
        <v>50</v>
      </c>
      <c r="O31" s="42">
        <v>659592.56</v>
      </c>
      <c r="P31" s="42">
        <v>24666.56</v>
      </c>
      <c r="Q31" s="42">
        <v>659592.56</v>
      </c>
      <c r="R31" s="42">
        <v>0</v>
      </c>
      <c r="S31" s="43">
        <v>210</v>
      </c>
      <c r="T31" s="42">
        <v>126809.51</v>
      </c>
      <c r="U31" s="42">
        <v>4926.49</v>
      </c>
      <c r="V31" s="42">
        <v>131736</v>
      </c>
      <c r="W31" s="44">
        <v>33</v>
      </c>
      <c r="X31" s="42">
        <v>791328.56</v>
      </c>
      <c r="Y31" s="45">
        <v>29593.050000000003</v>
      </c>
      <c r="Z31" s="42">
        <v>791328.56</v>
      </c>
      <c r="AA31" s="44">
        <v>243</v>
      </c>
      <c r="AB31" s="44">
        <v>0</v>
      </c>
      <c r="AC31" s="46">
        <v>744</v>
      </c>
      <c r="AD31" s="42">
        <v>0</v>
      </c>
      <c r="AE31" s="37">
        <v>41270</v>
      </c>
      <c r="AF31" s="37">
        <v>41452</v>
      </c>
      <c r="AG31" s="37">
        <v>41715</v>
      </c>
      <c r="AH31" s="37">
        <v>41977</v>
      </c>
      <c r="AI31" s="37">
        <v>41978</v>
      </c>
      <c r="AJ31" s="37">
        <v>41978</v>
      </c>
      <c r="AK31" s="47"/>
      <c r="AL31" s="47">
        <v>119.97232958479702</v>
      </c>
      <c r="AM31" s="47">
        <v>354.2857142857143</v>
      </c>
      <c r="AN31" s="47">
        <v>16.647446668675776</v>
      </c>
      <c r="AO31" s="47">
        <v>13.580246913580247</v>
      </c>
      <c r="AP31" s="47">
        <v>13.580246913580247</v>
      </c>
      <c r="AQ31" s="47">
        <v>0</v>
      </c>
      <c r="AR31" s="48">
        <v>100</v>
      </c>
      <c r="AS31" s="35"/>
      <c r="AT31" s="26"/>
      <c r="AU31" s="26"/>
      <c r="AV31" s="26"/>
      <c r="AW31" s="26"/>
      <c r="AX31" s="26"/>
      <c r="AY31" s="26"/>
      <c r="AZ31" s="26"/>
      <c r="BA31" s="26"/>
      <c r="BB31" s="26"/>
      <c r="BC31" s="26"/>
    </row>
    <row r="32" spans="1:55" ht="13.5" customHeight="1">
      <c r="A32" s="64" t="s">
        <v>125</v>
      </c>
      <c r="B32" s="37">
        <v>42156</v>
      </c>
      <c r="C32" s="38" t="s">
        <v>6</v>
      </c>
      <c r="D32" s="36" t="s">
        <v>105</v>
      </c>
      <c r="E32" s="36"/>
      <c r="F32" s="36"/>
      <c r="G32" s="36" t="s">
        <v>109</v>
      </c>
      <c r="H32" s="36" t="s">
        <v>105</v>
      </c>
      <c r="I32" s="36" t="s">
        <v>105</v>
      </c>
      <c r="J32" s="38" t="s">
        <v>126</v>
      </c>
      <c r="K32" s="38"/>
      <c r="L32" s="39">
        <v>42459</v>
      </c>
      <c r="M32" s="13" t="s">
        <v>49</v>
      </c>
      <c r="N32" s="40" t="s">
        <v>50</v>
      </c>
      <c r="O32" s="42">
        <v>474361.83</v>
      </c>
      <c r="P32" s="42">
        <v>6296</v>
      </c>
      <c r="Q32" s="42">
        <v>474361.83</v>
      </c>
      <c r="R32" s="42">
        <v>0</v>
      </c>
      <c r="S32" s="43">
        <v>120</v>
      </c>
      <c r="T32" s="42">
        <v>21143.54</v>
      </c>
      <c r="U32" s="42">
        <v>0</v>
      </c>
      <c r="V32" s="42">
        <v>21143.54</v>
      </c>
      <c r="W32" s="44">
        <v>0</v>
      </c>
      <c r="X32" s="42">
        <v>495505.37</v>
      </c>
      <c r="Y32" s="45">
        <v>6296</v>
      </c>
      <c r="Z32" s="42">
        <v>495505.37</v>
      </c>
      <c r="AA32" s="44">
        <v>120</v>
      </c>
      <c r="AB32" s="44">
        <v>0</v>
      </c>
      <c r="AC32" s="46">
        <v>1869</v>
      </c>
      <c r="AD32" s="42">
        <v>0</v>
      </c>
      <c r="AE32" s="37">
        <v>40280</v>
      </c>
      <c r="AF32" s="37">
        <v>40402</v>
      </c>
      <c r="AG32" s="37">
        <v>40590</v>
      </c>
      <c r="AH32" s="37">
        <v>40704</v>
      </c>
      <c r="AI32" s="37">
        <v>40705</v>
      </c>
      <c r="AJ32" s="37">
        <v>40705</v>
      </c>
      <c r="AK32" s="47"/>
      <c r="AL32" s="47">
        <v>104.45725997810572</v>
      </c>
      <c r="AM32" s="47">
        <v>1557.5</v>
      </c>
      <c r="AN32" s="47">
        <v>4.267065763585974</v>
      </c>
      <c r="AO32" s="47">
        <v>0</v>
      </c>
      <c r="AP32" s="47">
        <v>0</v>
      </c>
      <c r="AQ32" s="47">
        <v>0</v>
      </c>
      <c r="AR32" s="48">
        <v>100</v>
      </c>
      <c r="AS32" s="35"/>
      <c r="AT32" s="26"/>
      <c r="AU32" s="26"/>
      <c r="AV32" s="26"/>
      <c r="AW32" s="26"/>
      <c r="AX32" s="26"/>
      <c r="AY32" s="26"/>
      <c r="AZ32" s="26"/>
      <c r="BA32" s="26"/>
      <c r="BB32" s="26"/>
      <c r="BC32" s="26"/>
    </row>
    <row r="33" spans="1:55" ht="13.5" customHeight="1">
      <c r="A33" s="64" t="s">
        <v>127</v>
      </c>
      <c r="B33" s="37">
        <v>38575</v>
      </c>
      <c r="C33" s="38" t="s">
        <v>6</v>
      </c>
      <c r="D33" s="36" t="s">
        <v>105</v>
      </c>
      <c r="E33" s="36"/>
      <c r="F33" s="36"/>
      <c r="G33" s="36" t="s">
        <v>106</v>
      </c>
      <c r="H33" s="36" t="s">
        <v>105</v>
      </c>
      <c r="I33" s="36" t="s">
        <v>105</v>
      </c>
      <c r="J33" s="38" t="s">
        <v>128</v>
      </c>
      <c r="K33" s="38"/>
      <c r="L33" s="39">
        <v>42459</v>
      </c>
      <c r="M33" s="13" t="s">
        <v>49</v>
      </c>
      <c r="N33" s="40" t="s">
        <v>50</v>
      </c>
      <c r="O33" s="42">
        <v>11726175.21</v>
      </c>
      <c r="P33" s="42">
        <v>298512.09</v>
      </c>
      <c r="Q33" s="42">
        <v>11726175.21</v>
      </c>
      <c r="R33" s="42">
        <v>0</v>
      </c>
      <c r="S33" s="43">
        <v>340</v>
      </c>
      <c r="T33" s="42">
        <v>1046244.13</v>
      </c>
      <c r="U33" s="42">
        <v>27328.78</v>
      </c>
      <c r="V33" s="42">
        <v>1073572.91</v>
      </c>
      <c r="W33" s="44">
        <v>0</v>
      </c>
      <c r="X33" s="42">
        <v>12799748.120000001</v>
      </c>
      <c r="Y33" s="45">
        <v>325840.87</v>
      </c>
      <c r="Z33" s="42">
        <v>12799748.120000001</v>
      </c>
      <c r="AA33" s="44">
        <v>340</v>
      </c>
      <c r="AB33" s="44">
        <v>0</v>
      </c>
      <c r="AC33" s="46">
        <v>3775</v>
      </c>
      <c r="AD33" s="42">
        <v>0</v>
      </c>
      <c r="AE33" s="37">
        <v>36663</v>
      </c>
      <c r="AF33" s="37">
        <v>38352</v>
      </c>
      <c r="AG33" s="37">
        <v>38684</v>
      </c>
      <c r="AH33" s="37">
        <v>39013</v>
      </c>
      <c r="AI33" s="37">
        <v>39014</v>
      </c>
      <c r="AJ33" s="37">
        <v>39014</v>
      </c>
      <c r="AK33" s="47"/>
      <c r="AL33" s="47">
        <v>109.15535450199026</v>
      </c>
      <c r="AM33" s="47">
        <v>1110.2941176470588</v>
      </c>
      <c r="AN33" s="47">
        <v>8.387453408731607</v>
      </c>
      <c r="AO33" s="47">
        <v>0</v>
      </c>
      <c r="AP33" s="47">
        <v>0</v>
      </c>
      <c r="AQ33" s="47">
        <v>0</v>
      </c>
      <c r="AR33" s="48">
        <v>100</v>
      </c>
      <c r="AS33" s="35"/>
      <c r="AT33" s="26"/>
      <c r="AU33" s="26"/>
      <c r="AV33" s="26"/>
      <c r="AW33" s="26"/>
      <c r="AX33" s="26"/>
      <c r="AY33" s="26"/>
      <c r="AZ33" s="26"/>
      <c r="BA33" s="26"/>
      <c r="BB33" s="26"/>
      <c r="BC33" s="26"/>
    </row>
    <row r="34" spans="1:55" ht="13.5" customHeight="1">
      <c r="A34" s="64" t="s">
        <v>129</v>
      </c>
      <c r="B34" s="37">
        <v>38576</v>
      </c>
      <c r="C34" s="38" t="s">
        <v>6</v>
      </c>
      <c r="D34" s="36" t="s">
        <v>105</v>
      </c>
      <c r="E34" s="36"/>
      <c r="F34" s="36"/>
      <c r="G34" s="36" t="s">
        <v>109</v>
      </c>
      <c r="H34" s="36" t="s">
        <v>105</v>
      </c>
      <c r="I34" s="36" t="s">
        <v>105</v>
      </c>
      <c r="J34" s="38" t="s">
        <v>130</v>
      </c>
      <c r="K34" s="38"/>
      <c r="L34" s="39">
        <v>42459</v>
      </c>
      <c r="M34" s="13" t="s">
        <v>49</v>
      </c>
      <c r="N34" s="40" t="s">
        <v>50</v>
      </c>
      <c r="O34" s="42">
        <v>17359066.23</v>
      </c>
      <c r="P34" s="42">
        <v>619748.28</v>
      </c>
      <c r="Q34" s="42">
        <v>17359066.23</v>
      </c>
      <c r="R34" s="42">
        <v>0</v>
      </c>
      <c r="S34" s="43">
        <v>1260</v>
      </c>
      <c r="T34" s="42">
        <v>516014.32</v>
      </c>
      <c r="U34" s="42">
        <v>48526</v>
      </c>
      <c r="V34" s="42">
        <v>564540.3200000001</v>
      </c>
      <c r="W34" s="44">
        <v>310</v>
      </c>
      <c r="X34" s="42">
        <v>17923606.55</v>
      </c>
      <c r="Y34" s="45">
        <v>668274.28</v>
      </c>
      <c r="Z34" s="42">
        <v>17923606.55</v>
      </c>
      <c r="AA34" s="44">
        <v>1570</v>
      </c>
      <c r="AB34" s="44">
        <v>0</v>
      </c>
      <c r="AC34" s="46">
        <v>4052</v>
      </c>
      <c r="AD34" s="42">
        <v>3787250.88</v>
      </c>
      <c r="AE34" s="37">
        <v>36187</v>
      </c>
      <c r="AF34" s="37">
        <v>37831</v>
      </c>
      <c r="AG34" s="37">
        <v>38407</v>
      </c>
      <c r="AH34" s="37">
        <v>39994</v>
      </c>
      <c r="AI34" s="37">
        <v>39995</v>
      </c>
      <c r="AJ34" s="37">
        <v>39995</v>
      </c>
      <c r="AK34" s="47"/>
      <c r="AL34" s="47">
        <v>103.2521352964502</v>
      </c>
      <c r="AM34" s="47">
        <v>321.5873015873016</v>
      </c>
      <c r="AN34" s="47">
        <v>3.1497027031091576</v>
      </c>
      <c r="AO34" s="47">
        <v>19.745222929936308</v>
      </c>
      <c r="AP34" s="47">
        <v>19.745222929936308</v>
      </c>
      <c r="AQ34" s="47">
        <v>21.817134803339012</v>
      </c>
      <c r="AR34" s="48">
        <v>100</v>
      </c>
      <c r="AS34" s="35"/>
      <c r="AT34" s="26"/>
      <c r="AU34" s="26"/>
      <c r="AV34" s="26"/>
      <c r="AW34" s="26"/>
      <c r="AX34" s="26"/>
      <c r="AY34" s="26"/>
      <c r="AZ34" s="26"/>
      <c r="BA34" s="26"/>
      <c r="BB34" s="26"/>
      <c r="BC34" s="26"/>
    </row>
    <row r="35" spans="1:55" ht="13.5" customHeight="1">
      <c r="A35" s="64" t="s">
        <v>131</v>
      </c>
      <c r="B35" s="37">
        <v>40129</v>
      </c>
      <c r="C35" s="38" t="s">
        <v>6</v>
      </c>
      <c r="D35" s="36" t="s">
        <v>105</v>
      </c>
      <c r="E35" s="36"/>
      <c r="F35" s="36"/>
      <c r="G35" s="36" t="s">
        <v>106</v>
      </c>
      <c r="H35" s="36" t="s">
        <v>105</v>
      </c>
      <c r="I35" s="36" t="s">
        <v>105</v>
      </c>
      <c r="J35" s="38" t="s">
        <v>132</v>
      </c>
      <c r="K35" s="38"/>
      <c r="L35" s="39">
        <v>42459</v>
      </c>
      <c r="M35" s="13" t="s">
        <v>49</v>
      </c>
      <c r="N35" s="40" t="s">
        <v>50</v>
      </c>
      <c r="O35" s="42">
        <v>11946468.72</v>
      </c>
      <c r="P35" s="42">
        <v>554675</v>
      </c>
      <c r="Q35" s="42">
        <v>11946468.72</v>
      </c>
      <c r="R35" s="42">
        <v>0</v>
      </c>
      <c r="S35" s="43">
        <v>480</v>
      </c>
      <c r="T35" s="42">
        <v>1977086.36</v>
      </c>
      <c r="U35" s="42">
        <v>70435</v>
      </c>
      <c r="V35" s="42">
        <v>2047521.36</v>
      </c>
      <c r="W35" s="44">
        <v>0</v>
      </c>
      <c r="X35" s="42">
        <v>13993990.08</v>
      </c>
      <c r="Y35" s="45">
        <v>625110</v>
      </c>
      <c r="Z35" s="42">
        <v>13993990.08</v>
      </c>
      <c r="AA35" s="44">
        <v>480</v>
      </c>
      <c r="AB35" s="44">
        <v>0</v>
      </c>
      <c r="AC35" s="46">
        <v>1849</v>
      </c>
      <c r="AD35" s="42">
        <v>2778905.52</v>
      </c>
      <c r="AE35" s="37">
        <v>37971</v>
      </c>
      <c r="AF35" s="37">
        <v>39987</v>
      </c>
      <c r="AG35" s="37">
        <v>40610</v>
      </c>
      <c r="AH35" s="37">
        <v>41667</v>
      </c>
      <c r="AI35" s="37">
        <v>41668</v>
      </c>
      <c r="AJ35" s="37">
        <v>41668</v>
      </c>
      <c r="AK35" s="47"/>
      <c r="AL35" s="47">
        <v>117.1391346513315</v>
      </c>
      <c r="AM35" s="47">
        <v>385.2083333333333</v>
      </c>
      <c r="AN35" s="47">
        <v>14.6314335532243</v>
      </c>
      <c r="AO35" s="47">
        <v>0</v>
      </c>
      <c r="AP35" s="47">
        <v>0</v>
      </c>
      <c r="AQ35" s="47">
        <v>23.26131332305535</v>
      </c>
      <c r="AR35" s="48">
        <v>100</v>
      </c>
      <c r="AS35" s="35"/>
      <c r="AT35" s="26"/>
      <c r="AU35" s="26"/>
      <c r="AV35" s="26"/>
      <c r="AW35" s="26"/>
      <c r="AX35" s="26"/>
      <c r="AY35" s="26"/>
      <c r="AZ35" s="26"/>
      <c r="BA35" s="26"/>
      <c r="BB35" s="26"/>
      <c r="BC35" s="26"/>
    </row>
    <row r="36" spans="1:55" ht="13.5" customHeight="1">
      <c r="A36" s="64" t="s">
        <v>133</v>
      </c>
      <c r="B36" s="37">
        <v>41205</v>
      </c>
      <c r="C36" s="38" t="s">
        <v>6</v>
      </c>
      <c r="D36" s="36" t="s">
        <v>105</v>
      </c>
      <c r="E36" s="36"/>
      <c r="F36" s="36"/>
      <c r="G36" s="36" t="s">
        <v>109</v>
      </c>
      <c r="H36" s="36" t="s">
        <v>105</v>
      </c>
      <c r="I36" s="36" t="s">
        <v>105</v>
      </c>
      <c r="J36" s="38" t="s">
        <v>134</v>
      </c>
      <c r="K36" s="38"/>
      <c r="L36" s="39">
        <v>42459</v>
      </c>
      <c r="M36" s="13" t="s">
        <v>49</v>
      </c>
      <c r="N36" s="40" t="s">
        <v>50</v>
      </c>
      <c r="O36" s="42">
        <v>247992.26</v>
      </c>
      <c r="P36" s="42">
        <v>3421.67</v>
      </c>
      <c r="Q36" s="42">
        <v>247992.26</v>
      </c>
      <c r="R36" s="42">
        <v>0</v>
      </c>
      <c r="S36" s="43">
        <v>100</v>
      </c>
      <c r="T36" s="42">
        <v>35300.22</v>
      </c>
      <c r="U36" s="42">
        <v>0</v>
      </c>
      <c r="V36" s="42">
        <v>35300.22</v>
      </c>
      <c r="W36" s="44">
        <v>0</v>
      </c>
      <c r="X36" s="42">
        <v>283292.48</v>
      </c>
      <c r="Y36" s="45">
        <v>3421.67</v>
      </c>
      <c r="Z36" s="42">
        <v>283292.48</v>
      </c>
      <c r="AA36" s="44">
        <v>100</v>
      </c>
      <c r="AB36" s="44">
        <v>0</v>
      </c>
      <c r="AC36" s="46">
        <v>1122</v>
      </c>
      <c r="AD36" s="42">
        <v>0</v>
      </c>
      <c r="AE36" s="37">
        <v>40637</v>
      </c>
      <c r="AF36" s="37">
        <v>41156</v>
      </c>
      <c r="AG36" s="37">
        <v>41337</v>
      </c>
      <c r="AH36" s="37">
        <v>41521</v>
      </c>
      <c r="AI36" s="37">
        <v>41522</v>
      </c>
      <c r="AJ36" s="37">
        <v>41522</v>
      </c>
      <c r="AK36" s="47"/>
      <c r="AL36" s="47">
        <v>114.2344039285742</v>
      </c>
      <c r="AM36" s="47">
        <v>1122</v>
      </c>
      <c r="AN36" s="47">
        <v>12.460697862505917</v>
      </c>
      <c r="AO36" s="47">
        <v>0</v>
      </c>
      <c r="AP36" s="47">
        <v>0</v>
      </c>
      <c r="AQ36" s="47">
        <v>0</v>
      </c>
      <c r="AR36" s="48">
        <v>100</v>
      </c>
      <c r="AS36" s="35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1:55" ht="13.5" customHeight="1">
      <c r="A37" s="64" t="s">
        <v>135</v>
      </c>
      <c r="B37" s="37">
        <v>42433</v>
      </c>
      <c r="C37" s="38" t="s">
        <v>6</v>
      </c>
      <c r="D37" s="36" t="s">
        <v>105</v>
      </c>
      <c r="E37" s="36"/>
      <c r="F37" s="36"/>
      <c r="G37" s="36" t="s">
        <v>106</v>
      </c>
      <c r="H37" s="36" t="s">
        <v>105</v>
      </c>
      <c r="I37" s="36" t="s">
        <v>105</v>
      </c>
      <c r="J37" s="38" t="s">
        <v>136</v>
      </c>
      <c r="K37" s="38"/>
      <c r="L37" s="39">
        <v>42459</v>
      </c>
      <c r="M37" s="28" t="s">
        <v>56</v>
      </c>
      <c r="N37" s="40" t="s">
        <v>67</v>
      </c>
      <c r="O37" s="42">
        <v>0</v>
      </c>
      <c r="P37" s="42">
        <v>0</v>
      </c>
      <c r="Q37" s="42">
        <v>0</v>
      </c>
      <c r="R37" s="42">
        <v>0</v>
      </c>
      <c r="S37" s="43">
        <v>0</v>
      </c>
      <c r="T37" s="42">
        <v>0</v>
      </c>
      <c r="U37" s="42">
        <v>0</v>
      </c>
      <c r="V37" s="42">
        <v>0</v>
      </c>
      <c r="W37" s="44">
        <v>0</v>
      </c>
      <c r="X37" s="42">
        <v>0</v>
      </c>
      <c r="Y37" s="45">
        <v>0</v>
      </c>
      <c r="Z37" s="42">
        <v>0</v>
      </c>
      <c r="AA37" s="44">
        <v>0</v>
      </c>
      <c r="AB37" s="44">
        <v>0</v>
      </c>
      <c r="AC37" s="46">
        <v>0</v>
      </c>
      <c r="AD37" s="42">
        <v>0</v>
      </c>
      <c r="AE37" s="37">
        <v>39038</v>
      </c>
      <c r="AF37" s="60"/>
      <c r="AG37" s="60"/>
      <c r="AH37" s="60"/>
      <c r="AI37" s="37"/>
      <c r="AJ37" s="37"/>
      <c r="AK37" s="47"/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8">
        <v>0</v>
      </c>
      <c r="AS37" s="35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1:55" ht="13.5" customHeight="1">
      <c r="A38" s="64" t="s">
        <v>137</v>
      </c>
      <c r="B38" s="37">
        <v>42433</v>
      </c>
      <c r="C38" s="38" t="s">
        <v>6</v>
      </c>
      <c r="D38" s="36" t="s">
        <v>105</v>
      </c>
      <c r="E38" s="36"/>
      <c r="F38" s="36"/>
      <c r="G38" s="36" t="s">
        <v>109</v>
      </c>
      <c r="H38" s="36" t="s">
        <v>105</v>
      </c>
      <c r="I38" s="36" t="s">
        <v>105</v>
      </c>
      <c r="J38" s="38" t="s">
        <v>138</v>
      </c>
      <c r="K38" s="38"/>
      <c r="L38" s="39">
        <v>42459</v>
      </c>
      <c r="M38" s="28" t="s">
        <v>56</v>
      </c>
      <c r="N38" s="40" t="s">
        <v>67</v>
      </c>
      <c r="O38" s="42">
        <v>0</v>
      </c>
      <c r="P38" s="42">
        <v>0</v>
      </c>
      <c r="Q38" s="42">
        <v>0</v>
      </c>
      <c r="R38" s="42">
        <v>0</v>
      </c>
      <c r="S38" s="43">
        <v>0</v>
      </c>
      <c r="T38" s="42">
        <v>0</v>
      </c>
      <c r="U38" s="42">
        <v>0</v>
      </c>
      <c r="V38" s="42">
        <v>0</v>
      </c>
      <c r="W38" s="44">
        <v>0</v>
      </c>
      <c r="X38" s="42">
        <v>0</v>
      </c>
      <c r="Y38" s="45">
        <v>0</v>
      </c>
      <c r="Z38" s="42">
        <v>0</v>
      </c>
      <c r="AA38" s="44">
        <v>0</v>
      </c>
      <c r="AB38" s="44">
        <v>0</v>
      </c>
      <c r="AC38" s="46">
        <v>0</v>
      </c>
      <c r="AD38" s="42">
        <v>0</v>
      </c>
      <c r="AE38" s="37">
        <v>42383</v>
      </c>
      <c r="AF38" s="60"/>
      <c r="AG38" s="60"/>
      <c r="AH38" s="60"/>
      <c r="AI38" s="37"/>
      <c r="AJ38" s="37"/>
      <c r="AK38" s="47"/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8">
        <v>0</v>
      </c>
      <c r="AS38" s="35"/>
      <c r="AT38" s="26"/>
      <c r="AU38" s="26"/>
      <c r="AV38" s="26"/>
      <c r="AW38" s="26"/>
      <c r="AX38" s="26"/>
      <c r="AY38" s="26"/>
      <c r="AZ38" s="26"/>
      <c r="BA38" s="26"/>
      <c r="BB38" s="26"/>
      <c r="BC38" s="26"/>
    </row>
    <row r="39" spans="1:55" ht="13.5" customHeight="1">
      <c r="A39" s="64" t="s">
        <v>139</v>
      </c>
      <c r="B39" s="37">
        <v>41761</v>
      </c>
      <c r="C39" s="38" t="s">
        <v>6</v>
      </c>
      <c r="D39" s="36" t="s">
        <v>105</v>
      </c>
      <c r="E39" s="36"/>
      <c r="F39" s="36"/>
      <c r="G39" s="36" t="s">
        <v>106</v>
      </c>
      <c r="H39" s="36" t="s">
        <v>105</v>
      </c>
      <c r="I39" s="36" t="s">
        <v>105</v>
      </c>
      <c r="J39" s="38" t="s">
        <v>140</v>
      </c>
      <c r="K39" s="38"/>
      <c r="L39" s="39">
        <v>42459</v>
      </c>
      <c r="M39" s="28" t="s">
        <v>56</v>
      </c>
      <c r="N39" s="40" t="s">
        <v>67</v>
      </c>
      <c r="O39" s="42">
        <v>0</v>
      </c>
      <c r="P39" s="42">
        <v>0</v>
      </c>
      <c r="Q39" s="42">
        <v>0</v>
      </c>
      <c r="R39" s="42">
        <v>0</v>
      </c>
      <c r="S39" s="43">
        <v>0</v>
      </c>
      <c r="T39" s="42">
        <v>0</v>
      </c>
      <c r="U39" s="42">
        <v>0</v>
      </c>
      <c r="V39" s="42">
        <v>0</v>
      </c>
      <c r="W39" s="44">
        <v>0</v>
      </c>
      <c r="X39" s="42">
        <v>0</v>
      </c>
      <c r="Y39" s="45">
        <v>0</v>
      </c>
      <c r="Z39" s="42">
        <v>0</v>
      </c>
      <c r="AA39" s="44">
        <v>0</v>
      </c>
      <c r="AB39" s="44">
        <v>0</v>
      </c>
      <c r="AC39" s="46">
        <v>0</v>
      </c>
      <c r="AD39" s="42">
        <v>0</v>
      </c>
      <c r="AE39" s="37">
        <v>40266</v>
      </c>
      <c r="AF39" s="60"/>
      <c r="AG39" s="60"/>
      <c r="AH39" s="60"/>
      <c r="AI39" s="37"/>
      <c r="AJ39" s="37"/>
      <c r="AK39" s="47"/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8">
        <v>0</v>
      </c>
      <c r="AS39" s="35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1:55" ht="13.5" customHeight="1">
      <c r="A40" s="64" t="s">
        <v>141</v>
      </c>
      <c r="B40" s="37">
        <v>42156</v>
      </c>
      <c r="C40" s="38" t="s">
        <v>6</v>
      </c>
      <c r="D40" s="36" t="s">
        <v>105</v>
      </c>
      <c r="E40" s="36"/>
      <c r="F40" s="36"/>
      <c r="G40" s="36" t="s">
        <v>106</v>
      </c>
      <c r="H40" s="36" t="s">
        <v>105</v>
      </c>
      <c r="I40" s="36" t="s">
        <v>105</v>
      </c>
      <c r="J40" s="38" t="s">
        <v>142</v>
      </c>
      <c r="K40" s="38"/>
      <c r="L40" s="39">
        <v>42459</v>
      </c>
      <c r="M40" s="28" t="s">
        <v>56</v>
      </c>
      <c r="N40" s="40" t="s">
        <v>67</v>
      </c>
      <c r="O40" s="42">
        <v>0</v>
      </c>
      <c r="P40" s="42">
        <v>0</v>
      </c>
      <c r="Q40" s="42">
        <v>0</v>
      </c>
      <c r="R40" s="42">
        <v>0</v>
      </c>
      <c r="S40" s="43">
        <v>0</v>
      </c>
      <c r="T40" s="42">
        <v>0</v>
      </c>
      <c r="U40" s="42">
        <v>0</v>
      </c>
      <c r="V40" s="42">
        <v>0</v>
      </c>
      <c r="W40" s="44">
        <v>0</v>
      </c>
      <c r="X40" s="42">
        <v>0</v>
      </c>
      <c r="Y40" s="45">
        <v>0</v>
      </c>
      <c r="Z40" s="42">
        <v>0</v>
      </c>
      <c r="AA40" s="44">
        <v>0</v>
      </c>
      <c r="AB40" s="44">
        <v>0</v>
      </c>
      <c r="AC40" s="46">
        <v>0</v>
      </c>
      <c r="AD40" s="42">
        <v>0</v>
      </c>
      <c r="AE40" s="37">
        <v>40266</v>
      </c>
      <c r="AF40" s="60"/>
      <c r="AG40" s="60"/>
      <c r="AH40" s="60"/>
      <c r="AI40" s="37"/>
      <c r="AJ40" s="37"/>
      <c r="AK40" s="47"/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8">
        <v>0</v>
      </c>
      <c r="AS40" s="35"/>
      <c r="AT40" s="26"/>
      <c r="AU40" s="26"/>
      <c r="AV40" s="26"/>
      <c r="AW40" s="26"/>
      <c r="AX40" s="26"/>
      <c r="AY40" s="26"/>
      <c r="AZ40" s="26"/>
      <c r="BA40" s="26"/>
      <c r="BB40" s="26"/>
      <c r="BC40" s="26"/>
    </row>
    <row r="41" spans="1:55" ht="13.5" customHeight="1">
      <c r="A41" s="65" t="s">
        <v>143</v>
      </c>
      <c r="B41" s="9">
        <v>41669</v>
      </c>
      <c r="C41" s="10" t="s">
        <v>6</v>
      </c>
      <c r="D41" s="11" t="s">
        <v>105</v>
      </c>
      <c r="E41" s="11"/>
      <c r="F41" s="11"/>
      <c r="G41" s="11" t="s">
        <v>109</v>
      </c>
      <c r="H41" s="11" t="s">
        <v>105</v>
      </c>
      <c r="I41" s="11" t="s">
        <v>105</v>
      </c>
      <c r="J41" s="10" t="s">
        <v>144</v>
      </c>
      <c r="K41" s="10"/>
      <c r="L41" s="12">
        <v>42459</v>
      </c>
      <c r="M41" s="13" t="s">
        <v>49</v>
      </c>
      <c r="N41" s="14" t="s">
        <v>145</v>
      </c>
      <c r="O41" s="15">
        <v>1200990.44</v>
      </c>
      <c r="P41" s="15">
        <v>83775.53</v>
      </c>
      <c r="Q41" s="15">
        <v>1200990.44</v>
      </c>
      <c r="R41" s="15">
        <v>0</v>
      </c>
      <c r="S41" s="29">
        <v>155</v>
      </c>
      <c r="T41" s="15">
        <v>34081.06</v>
      </c>
      <c r="U41" s="15">
        <v>0</v>
      </c>
      <c r="V41" s="15">
        <v>34081.06</v>
      </c>
      <c r="W41" s="20">
        <v>40</v>
      </c>
      <c r="X41" s="15">
        <v>1235071.5</v>
      </c>
      <c r="Y41" s="30">
        <v>83775.53</v>
      </c>
      <c r="Z41" s="15">
        <v>925023.65</v>
      </c>
      <c r="AA41" s="20">
        <v>195</v>
      </c>
      <c r="AB41" s="20">
        <v>0</v>
      </c>
      <c r="AC41" s="31">
        <v>254</v>
      </c>
      <c r="AD41" s="15">
        <v>149749.98</v>
      </c>
      <c r="AE41" s="9">
        <v>38898</v>
      </c>
      <c r="AF41" s="9">
        <v>41273</v>
      </c>
      <c r="AG41" s="9">
        <v>42205</v>
      </c>
      <c r="AH41" s="9">
        <v>42479</v>
      </c>
      <c r="AI41" s="9">
        <v>42480</v>
      </c>
      <c r="AJ41" s="9">
        <v>42480</v>
      </c>
      <c r="AK41" s="23"/>
      <c r="AL41" s="23">
        <v>77.02173299564316</v>
      </c>
      <c r="AM41" s="23">
        <v>163.8709677419355</v>
      </c>
      <c r="AN41" s="23">
        <v>2.759440242933304</v>
      </c>
      <c r="AO41" s="23">
        <v>20.51282051282051</v>
      </c>
      <c r="AP41" s="23">
        <v>20.51282051282051</v>
      </c>
      <c r="AQ41" s="23">
        <v>12.468873607353611</v>
      </c>
      <c r="AR41" s="24">
        <v>100</v>
      </c>
      <c r="AS41" s="35"/>
      <c r="AT41" s="26"/>
      <c r="AU41" s="26"/>
      <c r="AV41" s="26"/>
      <c r="AW41" s="26"/>
      <c r="AX41" s="26"/>
      <c r="AY41" s="26"/>
      <c r="AZ41" s="26"/>
      <c r="BA41" s="26"/>
      <c r="BB41" s="26"/>
      <c r="BC41" s="26"/>
    </row>
    <row r="42" spans="1:55" ht="13.5" customHeight="1">
      <c r="A42" s="64" t="s">
        <v>146</v>
      </c>
      <c r="B42" s="37">
        <v>42156</v>
      </c>
      <c r="C42" s="38" t="s">
        <v>6</v>
      </c>
      <c r="D42" s="36" t="s">
        <v>105</v>
      </c>
      <c r="E42" s="36"/>
      <c r="F42" s="36"/>
      <c r="G42" s="36" t="s">
        <v>106</v>
      </c>
      <c r="H42" s="36" t="s">
        <v>105</v>
      </c>
      <c r="I42" s="36" t="s">
        <v>105</v>
      </c>
      <c r="J42" s="38" t="s">
        <v>147</v>
      </c>
      <c r="K42" s="38"/>
      <c r="L42" s="39">
        <v>42459</v>
      </c>
      <c r="M42" s="28" t="s">
        <v>56</v>
      </c>
      <c r="N42" s="40" t="s">
        <v>67</v>
      </c>
      <c r="O42" s="42">
        <v>0</v>
      </c>
      <c r="P42" s="42">
        <v>0</v>
      </c>
      <c r="Q42" s="42">
        <v>0</v>
      </c>
      <c r="R42" s="42">
        <v>0</v>
      </c>
      <c r="S42" s="43">
        <v>0</v>
      </c>
      <c r="T42" s="42">
        <v>0</v>
      </c>
      <c r="U42" s="42">
        <v>0</v>
      </c>
      <c r="V42" s="42">
        <v>0</v>
      </c>
      <c r="W42" s="44">
        <v>0</v>
      </c>
      <c r="X42" s="42">
        <v>0</v>
      </c>
      <c r="Y42" s="45">
        <v>0</v>
      </c>
      <c r="Z42" s="42">
        <v>0</v>
      </c>
      <c r="AA42" s="44">
        <v>0</v>
      </c>
      <c r="AB42" s="44">
        <v>0</v>
      </c>
      <c r="AC42" s="46">
        <v>0</v>
      </c>
      <c r="AD42" s="42">
        <v>0</v>
      </c>
      <c r="AE42" s="37">
        <v>41479</v>
      </c>
      <c r="AF42" s="60"/>
      <c r="AG42" s="60"/>
      <c r="AH42" s="60"/>
      <c r="AI42" s="37"/>
      <c r="AJ42" s="37"/>
      <c r="AK42" s="47"/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8">
        <v>0</v>
      </c>
      <c r="AS42" s="35"/>
      <c r="AT42" s="26"/>
      <c r="AU42" s="26"/>
      <c r="AV42" s="26"/>
      <c r="AW42" s="26"/>
      <c r="AX42" s="26"/>
      <c r="AY42" s="26"/>
      <c r="AZ42" s="26"/>
      <c r="BA42" s="26"/>
      <c r="BB42" s="26"/>
      <c r="BC42" s="26"/>
    </row>
    <row r="43" spans="1:55" ht="13.5" customHeight="1">
      <c r="A43" s="64" t="s">
        <v>148</v>
      </c>
      <c r="B43" s="37">
        <v>41668</v>
      </c>
      <c r="C43" s="38" t="s">
        <v>6</v>
      </c>
      <c r="D43" s="36" t="s">
        <v>105</v>
      </c>
      <c r="E43" s="36">
        <v>39.21060277777778</v>
      </c>
      <c r="F43" s="36">
        <v>9.112074999999999</v>
      </c>
      <c r="G43" s="36" t="s">
        <v>109</v>
      </c>
      <c r="H43" s="36" t="s">
        <v>105</v>
      </c>
      <c r="I43" s="36" t="s">
        <v>105</v>
      </c>
      <c r="J43" s="38" t="s">
        <v>149</v>
      </c>
      <c r="K43" s="38"/>
      <c r="L43" s="39">
        <v>42459</v>
      </c>
      <c r="M43" s="28" t="s">
        <v>72</v>
      </c>
      <c r="N43" s="40" t="s">
        <v>145</v>
      </c>
      <c r="O43" s="42">
        <v>626977.04</v>
      </c>
      <c r="P43" s="42">
        <v>34000</v>
      </c>
      <c r="Q43" s="42">
        <v>626977.04</v>
      </c>
      <c r="R43" s="42">
        <v>0</v>
      </c>
      <c r="S43" s="43">
        <v>200</v>
      </c>
      <c r="T43" s="42">
        <v>0</v>
      </c>
      <c r="U43" s="42">
        <v>0</v>
      </c>
      <c r="V43" s="42">
        <v>0</v>
      </c>
      <c r="W43" s="44">
        <v>0</v>
      </c>
      <c r="X43" s="42">
        <v>626977.04</v>
      </c>
      <c r="Y43" s="45">
        <v>34000</v>
      </c>
      <c r="Z43" s="42">
        <v>0</v>
      </c>
      <c r="AA43" s="44">
        <v>200</v>
      </c>
      <c r="AB43" s="44">
        <v>0</v>
      </c>
      <c r="AC43" s="46">
        <v>91</v>
      </c>
      <c r="AD43" s="42">
        <v>0</v>
      </c>
      <c r="AE43" s="37">
        <v>41151</v>
      </c>
      <c r="AF43" s="37">
        <v>41649</v>
      </c>
      <c r="AG43" s="37">
        <v>42368</v>
      </c>
      <c r="AH43" s="37">
        <v>42568</v>
      </c>
      <c r="AI43" s="37">
        <v>42569</v>
      </c>
      <c r="AJ43" s="37">
        <v>42569</v>
      </c>
      <c r="AK43" s="47"/>
      <c r="AL43" s="47">
        <f>_xlfn.IFERROR(Z43/O43*100,0)</f>
        <v>0</v>
      </c>
      <c r="AM43" s="47">
        <f>_xlfn.IFERROR(AC43/S43*100,0)</f>
        <v>45.5</v>
      </c>
      <c r="AN43" s="47">
        <f>_xlfn.IFERROR(V43/X43*100,0)</f>
        <v>0</v>
      </c>
      <c r="AO43" s="47">
        <f>_xlfn.IFERROR(W43/AA43*100,0)</f>
        <v>0</v>
      </c>
      <c r="AP43" s="47">
        <f>_xlfn.IFERROR(((W43+AB43)/AA43)*100,0)</f>
        <v>0</v>
      </c>
      <c r="AQ43" s="47">
        <f>_xlfn.IFERROR((AD43/O43)*100,0)</f>
        <v>0</v>
      </c>
      <c r="AR43" s="48">
        <f>_xlfn.IFERROR((Q43/O43)*100,0)</f>
        <v>100</v>
      </c>
      <c r="AS43" s="35" t="s">
        <v>74</v>
      </c>
      <c r="AT43" s="26"/>
      <c r="AU43" s="26"/>
      <c r="AV43" s="26"/>
      <c r="AW43" s="26"/>
      <c r="AX43" s="26"/>
      <c r="AY43" s="26"/>
      <c r="AZ43" s="26"/>
      <c r="BA43" s="26"/>
      <c r="BB43" s="26"/>
      <c r="BC43" s="26"/>
    </row>
    <row r="44" spans="1:55" ht="13.5" customHeight="1">
      <c r="A44" s="64" t="s">
        <v>150</v>
      </c>
      <c r="B44" s="37">
        <v>39734</v>
      </c>
      <c r="C44" s="38" t="s">
        <v>6</v>
      </c>
      <c r="D44" s="36" t="s">
        <v>105</v>
      </c>
      <c r="E44" s="36">
        <v>39.21060277777778</v>
      </c>
      <c r="F44" s="36">
        <v>9.112074999999999</v>
      </c>
      <c r="G44" s="36" t="s">
        <v>109</v>
      </c>
      <c r="H44" s="36" t="s">
        <v>105</v>
      </c>
      <c r="I44" s="36" t="s">
        <v>105</v>
      </c>
      <c r="J44" s="38" t="s">
        <v>151</v>
      </c>
      <c r="K44" s="38"/>
      <c r="L44" s="39">
        <v>42459</v>
      </c>
      <c r="M44" s="28" t="s">
        <v>72</v>
      </c>
      <c r="N44" s="40" t="s">
        <v>145</v>
      </c>
      <c r="O44" s="42">
        <v>7715988.35</v>
      </c>
      <c r="P44" s="42">
        <v>105722</v>
      </c>
      <c r="Q44" s="42">
        <v>7715988.35</v>
      </c>
      <c r="R44" s="42">
        <v>0</v>
      </c>
      <c r="S44" s="43">
        <v>360</v>
      </c>
      <c r="T44" s="42">
        <v>729530.86</v>
      </c>
      <c r="U44" s="42">
        <v>0</v>
      </c>
      <c r="V44" s="42">
        <v>729530.86</v>
      </c>
      <c r="W44" s="44">
        <v>0</v>
      </c>
      <c r="X44" s="42">
        <v>8445519.209999999</v>
      </c>
      <c r="Y44" s="45">
        <v>105722</v>
      </c>
      <c r="Z44" s="42">
        <v>583709.27</v>
      </c>
      <c r="AA44" s="44">
        <v>360</v>
      </c>
      <c r="AB44" s="44">
        <v>0</v>
      </c>
      <c r="AC44" s="46">
        <v>9</v>
      </c>
      <c r="AD44" s="42">
        <v>300000</v>
      </c>
      <c r="AE44" s="37">
        <v>37946</v>
      </c>
      <c r="AF44" s="37">
        <v>41228</v>
      </c>
      <c r="AG44" s="37">
        <v>42450</v>
      </c>
      <c r="AH44" s="37">
        <v>42810</v>
      </c>
      <c r="AI44" s="37">
        <v>42811</v>
      </c>
      <c r="AJ44" s="37">
        <v>42811</v>
      </c>
      <c r="AK44" s="47"/>
      <c r="AL44" s="47">
        <f>_xlfn.IFERROR(Z44/O44*100,0)</f>
        <v>7.564931976601547</v>
      </c>
      <c r="AM44" s="47">
        <f>_xlfn.IFERROR(AC44/S44*100,0)</f>
        <v>2.5</v>
      </c>
      <c r="AN44" s="47">
        <f>_xlfn.IFERROR(V44/X44*100,0)</f>
        <v>8.638081826114277</v>
      </c>
      <c r="AO44" s="47">
        <f>_xlfn.IFERROR(W44/AA44*100,0)</f>
        <v>0</v>
      </c>
      <c r="AP44" s="47">
        <f>_xlfn.IFERROR(((W44+AB44)/AA44)*100,0)</f>
        <v>0</v>
      </c>
      <c r="AQ44" s="47">
        <f>_xlfn.IFERROR((AD44/O44)*100,0)</f>
        <v>3.888030753701177</v>
      </c>
      <c r="AR44" s="48">
        <f>_xlfn.IFERROR((Q44/O44)*100,0)</f>
        <v>100</v>
      </c>
      <c r="AS44" s="35" t="s">
        <v>74</v>
      </c>
      <c r="AT44" s="26"/>
      <c r="AU44" s="26"/>
      <c r="AV44" s="26"/>
      <c r="AW44" s="26"/>
      <c r="AX44" s="26"/>
      <c r="AY44" s="26"/>
      <c r="AZ44" s="26"/>
      <c r="BA44" s="26"/>
      <c r="BB44" s="26"/>
      <c r="BC44" s="26"/>
    </row>
    <row r="45" spans="1:55" ht="13.5" customHeight="1">
      <c r="A45" s="64" t="s">
        <v>152</v>
      </c>
      <c r="B45" s="37">
        <v>41911</v>
      </c>
      <c r="C45" s="38" t="s">
        <v>6</v>
      </c>
      <c r="D45" s="36" t="s">
        <v>105</v>
      </c>
      <c r="E45" s="36">
        <v>39.21060277777778</v>
      </c>
      <c r="F45" s="36">
        <v>9.112074999999999</v>
      </c>
      <c r="G45" s="36" t="s">
        <v>109</v>
      </c>
      <c r="H45" s="36" t="s">
        <v>105</v>
      </c>
      <c r="I45" s="36" t="s">
        <v>105</v>
      </c>
      <c r="J45" s="38" t="s">
        <v>153</v>
      </c>
      <c r="K45" s="38"/>
      <c r="L45" s="39">
        <v>42459</v>
      </c>
      <c r="M45" s="28" t="s">
        <v>72</v>
      </c>
      <c r="N45" s="40" t="s">
        <v>145</v>
      </c>
      <c r="O45" s="42">
        <v>663849.89</v>
      </c>
      <c r="P45" s="42">
        <v>15000</v>
      </c>
      <c r="Q45" s="42">
        <v>663849.89</v>
      </c>
      <c r="R45" s="42">
        <v>0</v>
      </c>
      <c r="S45" s="43">
        <v>120</v>
      </c>
      <c r="T45" s="42">
        <v>0</v>
      </c>
      <c r="U45" s="42">
        <v>0</v>
      </c>
      <c r="V45" s="42">
        <v>0</v>
      </c>
      <c r="W45" s="44">
        <v>0</v>
      </c>
      <c r="X45" s="42">
        <v>663849.89</v>
      </c>
      <c r="Y45" s="45">
        <v>15000</v>
      </c>
      <c r="Z45" s="42">
        <v>0</v>
      </c>
      <c r="AA45" s="44">
        <v>120</v>
      </c>
      <c r="AB45" s="44">
        <v>158</v>
      </c>
      <c r="AC45" s="46">
        <v>110</v>
      </c>
      <c r="AD45" s="42">
        <v>145000</v>
      </c>
      <c r="AE45" s="37">
        <v>40969</v>
      </c>
      <c r="AF45" s="37">
        <v>41638</v>
      </c>
      <c r="AG45" s="37">
        <v>42191</v>
      </c>
      <c r="AH45" s="37">
        <v>42665</v>
      </c>
      <c r="AI45" s="37">
        <v>42472</v>
      </c>
      <c r="AJ45" s="37">
        <v>42472</v>
      </c>
      <c r="AK45" s="47"/>
      <c r="AL45" s="47">
        <f>_xlfn.IFERROR(Z45/O45*100,0)</f>
        <v>0</v>
      </c>
      <c r="AM45" s="47">
        <f>_xlfn.IFERROR(AC45/S45*100,0)</f>
        <v>91.66666666666666</v>
      </c>
      <c r="AN45" s="47">
        <f>_xlfn.IFERROR(V45/X45*100,0)</f>
        <v>0</v>
      </c>
      <c r="AO45" s="47">
        <f>_xlfn.IFERROR(W45/AA45*100,0)</f>
        <v>0</v>
      </c>
      <c r="AP45" s="47">
        <f>_xlfn.IFERROR(((W45+AB45)/AA45)*100,0)</f>
        <v>131.66666666666666</v>
      </c>
      <c r="AQ45" s="47">
        <f>_xlfn.IFERROR((AD45/O45)*100,0)</f>
        <v>21.84228726768336</v>
      </c>
      <c r="AR45" s="48">
        <f>_xlfn.IFERROR((Q45/O45)*100,0)</f>
        <v>100</v>
      </c>
      <c r="AS45" s="35" t="s">
        <v>74</v>
      </c>
      <c r="AT45" s="26"/>
      <c r="AU45" s="26"/>
      <c r="AV45" s="26"/>
      <c r="AW45" s="26"/>
      <c r="AX45" s="26"/>
      <c r="AY45" s="26"/>
      <c r="AZ45" s="26"/>
      <c r="BA45" s="26"/>
      <c r="BB45" s="26"/>
      <c r="BC45" s="26"/>
    </row>
    <row r="46" spans="1:55" ht="13.5" customHeight="1">
      <c r="A46" s="64" t="s">
        <v>154</v>
      </c>
      <c r="B46" s="37">
        <v>42158</v>
      </c>
      <c r="C46" s="38" t="s">
        <v>6</v>
      </c>
      <c r="D46" s="36" t="s">
        <v>105</v>
      </c>
      <c r="E46" s="36"/>
      <c r="F46" s="36"/>
      <c r="G46" s="36" t="s">
        <v>109</v>
      </c>
      <c r="H46" s="36" t="s">
        <v>105</v>
      </c>
      <c r="I46" s="36" t="s">
        <v>105</v>
      </c>
      <c r="J46" s="38" t="s">
        <v>155</v>
      </c>
      <c r="K46" s="38"/>
      <c r="L46" s="39">
        <v>42459</v>
      </c>
      <c r="M46" s="28" t="s">
        <v>56</v>
      </c>
      <c r="N46" s="40" t="s">
        <v>67</v>
      </c>
      <c r="O46" s="42">
        <v>0</v>
      </c>
      <c r="P46" s="42">
        <v>0</v>
      </c>
      <c r="Q46" s="42">
        <v>0</v>
      </c>
      <c r="R46" s="42">
        <v>0</v>
      </c>
      <c r="S46" s="43">
        <v>0</v>
      </c>
      <c r="T46" s="42">
        <v>0</v>
      </c>
      <c r="U46" s="42">
        <v>0</v>
      </c>
      <c r="V46" s="42">
        <v>0</v>
      </c>
      <c r="W46" s="44">
        <v>0</v>
      </c>
      <c r="X46" s="42">
        <v>0</v>
      </c>
      <c r="Y46" s="45">
        <v>0</v>
      </c>
      <c r="Z46" s="42">
        <v>0</v>
      </c>
      <c r="AA46" s="44">
        <v>0</v>
      </c>
      <c r="AB46" s="44">
        <v>0</v>
      </c>
      <c r="AC46" s="46">
        <v>0</v>
      </c>
      <c r="AD46" s="42">
        <v>0</v>
      </c>
      <c r="AE46" s="37">
        <v>38520</v>
      </c>
      <c r="AF46" s="60"/>
      <c r="AG46" s="60"/>
      <c r="AH46" s="60"/>
      <c r="AI46" s="37"/>
      <c r="AJ46" s="37"/>
      <c r="AK46" s="47"/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8">
        <v>0</v>
      </c>
      <c r="AS46" s="35"/>
      <c r="AT46" s="26"/>
      <c r="AU46" s="26"/>
      <c r="AV46" s="26"/>
      <c r="AW46" s="26"/>
      <c r="AX46" s="26"/>
      <c r="AY46" s="26"/>
      <c r="AZ46" s="26"/>
      <c r="BA46" s="26"/>
      <c r="BB46" s="26"/>
      <c r="BC46" s="26"/>
    </row>
    <row r="47" spans="1:55" ht="13.5" customHeight="1">
      <c r="A47" s="64" t="s">
        <v>156</v>
      </c>
      <c r="B47" s="37">
        <v>39734</v>
      </c>
      <c r="C47" s="38" t="s">
        <v>6</v>
      </c>
      <c r="D47" s="36" t="s">
        <v>105</v>
      </c>
      <c r="E47" s="36">
        <v>39.21060277777778</v>
      </c>
      <c r="F47" s="36">
        <v>9.112074999999999</v>
      </c>
      <c r="G47" s="36" t="s">
        <v>106</v>
      </c>
      <c r="H47" s="36" t="s">
        <v>105</v>
      </c>
      <c r="I47" s="36" t="s">
        <v>105</v>
      </c>
      <c r="J47" s="38" t="s">
        <v>157</v>
      </c>
      <c r="K47" s="38"/>
      <c r="L47" s="39">
        <v>42459</v>
      </c>
      <c r="M47" s="28" t="s">
        <v>72</v>
      </c>
      <c r="N47" s="40" t="s">
        <v>145</v>
      </c>
      <c r="O47" s="42">
        <v>5944471.46</v>
      </c>
      <c r="P47" s="42">
        <v>136481.95</v>
      </c>
      <c r="Q47" s="42">
        <v>5944471.46</v>
      </c>
      <c r="R47" s="42">
        <v>0</v>
      </c>
      <c r="S47" s="43">
        <v>490</v>
      </c>
      <c r="T47" s="42">
        <v>187953.25</v>
      </c>
      <c r="U47" s="42">
        <v>13996.05</v>
      </c>
      <c r="V47" s="42">
        <v>201949.3</v>
      </c>
      <c r="W47" s="44">
        <v>100</v>
      </c>
      <c r="X47" s="42">
        <v>6146420.76</v>
      </c>
      <c r="Y47" s="45">
        <v>150478</v>
      </c>
      <c r="Z47" s="42">
        <v>0</v>
      </c>
      <c r="AA47" s="44">
        <v>590</v>
      </c>
      <c r="AB47" s="44">
        <v>0</v>
      </c>
      <c r="AC47" s="46">
        <v>1198</v>
      </c>
      <c r="AD47" s="42">
        <v>1458000</v>
      </c>
      <c r="AE47" s="37">
        <v>38529</v>
      </c>
      <c r="AF47" s="37">
        <v>40863</v>
      </c>
      <c r="AG47" s="37">
        <v>41261</v>
      </c>
      <c r="AH47" s="37">
        <v>41750</v>
      </c>
      <c r="AI47" s="37">
        <v>41751</v>
      </c>
      <c r="AJ47" s="37">
        <v>41751</v>
      </c>
      <c r="AK47" s="47"/>
      <c r="AL47" s="47">
        <f>_xlfn.IFERROR(Z47/O47*100,0)</f>
        <v>0</v>
      </c>
      <c r="AM47" s="47">
        <f>_xlfn.IFERROR(AC47/S47*100,0)</f>
        <v>244.48979591836735</v>
      </c>
      <c r="AN47" s="47">
        <f>_xlfn.IFERROR(V47/X47*100,0)</f>
        <v>3.2856406660971906</v>
      </c>
      <c r="AO47" s="47">
        <f>_xlfn.IFERROR(W47/AA47*100,0)</f>
        <v>16.94915254237288</v>
      </c>
      <c r="AP47" s="47">
        <f>_xlfn.IFERROR(((W47+AB47)/AA47)*100,0)</f>
        <v>16.94915254237288</v>
      </c>
      <c r="AQ47" s="47">
        <f>_xlfn.IFERROR((AD47/O47)*100,0)</f>
        <v>24.526991336585542</v>
      </c>
      <c r="AR47" s="48">
        <f>_xlfn.IFERROR((Q47/O47)*100,0)</f>
        <v>100</v>
      </c>
      <c r="AS47" s="35" t="s">
        <v>74</v>
      </c>
      <c r="AT47" s="26"/>
      <c r="AU47" s="26"/>
      <c r="AV47" s="26"/>
      <c r="AW47" s="26"/>
      <c r="AX47" s="26"/>
      <c r="AY47" s="26"/>
      <c r="AZ47" s="26"/>
      <c r="BA47" s="26"/>
      <c r="BB47" s="26"/>
      <c r="BC47" s="26"/>
    </row>
    <row r="48" spans="1:55" ht="13.5" customHeight="1">
      <c r="A48" s="64" t="s">
        <v>158</v>
      </c>
      <c r="B48" s="37">
        <v>39734</v>
      </c>
      <c r="C48" s="38" t="s">
        <v>6</v>
      </c>
      <c r="D48" s="36" t="s">
        <v>105</v>
      </c>
      <c r="E48" s="36"/>
      <c r="F48" s="36"/>
      <c r="G48" s="36" t="s">
        <v>159</v>
      </c>
      <c r="H48" s="36" t="s">
        <v>105</v>
      </c>
      <c r="I48" s="36" t="s">
        <v>105</v>
      </c>
      <c r="J48" s="38" t="s">
        <v>160</v>
      </c>
      <c r="K48" s="38"/>
      <c r="L48" s="39">
        <v>42459</v>
      </c>
      <c r="M48" s="28" t="s">
        <v>56</v>
      </c>
      <c r="N48" s="40" t="s">
        <v>67</v>
      </c>
      <c r="O48" s="42">
        <v>0</v>
      </c>
      <c r="P48" s="42">
        <v>0</v>
      </c>
      <c r="Q48" s="42">
        <v>0</v>
      </c>
      <c r="R48" s="42">
        <v>0</v>
      </c>
      <c r="S48" s="43">
        <v>0</v>
      </c>
      <c r="T48" s="42">
        <v>0</v>
      </c>
      <c r="U48" s="42">
        <v>0</v>
      </c>
      <c r="V48" s="42">
        <v>0</v>
      </c>
      <c r="W48" s="44">
        <v>0</v>
      </c>
      <c r="X48" s="42">
        <v>0</v>
      </c>
      <c r="Y48" s="45">
        <v>0</v>
      </c>
      <c r="Z48" s="42">
        <v>0</v>
      </c>
      <c r="AA48" s="44">
        <v>0</v>
      </c>
      <c r="AB48" s="44">
        <v>0</v>
      </c>
      <c r="AC48" s="46">
        <v>0</v>
      </c>
      <c r="AD48" s="42">
        <v>0</v>
      </c>
      <c r="AE48" s="37">
        <v>36276</v>
      </c>
      <c r="AF48" s="60"/>
      <c r="AG48" s="60"/>
      <c r="AH48" s="60"/>
      <c r="AI48" s="37"/>
      <c r="AJ48" s="37"/>
      <c r="AK48" s="47"/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24">
        <v>0</v>
      </c>
      <c r="AS48" s="35"/>
      <c r="AT48" s="26"/>
      <c r="AU48" s="26"/>
      <c r="AV48" s="26"/>
      <c r="AW48" s="26"/>
      <c r="AX48" s="26"/>
      <c r="AY48" s="26"/>
      <c r="AZ48" s="26"/>
      <c r="BA48" s="26"/>
      <c r="BB48" s="26"/>
      <c r="BC48" s="26"/>
    </row>
    <row r="49" spans="1:55" ht="13.5" customHeight="1">
      <c r="A49" s="8" t="s">
        <v>161</v>
      </c>
      <c r="B49" s="37">
        <v>40536</v>
      </c>
      <c r="C49" s="8" t="s">
        <v>6</v>
      </c>
      <c r="D49" s="8" t="s">
        <v>162</v>
      </c>
      <c r="E49" s="36">
        <v>44.10453611111111</v>
      </c>
      <c r="F49" s="36">
        <v>9.843625000000001</v>
      </c>
      <c r="G49" s="8" t="s">
        <v>162</v>
      </c>
      <c r="H49" s="8" t="s">
        <v>162</v>
      </c>
      <c r="I49" s="8" t="s">
        <v>162</v>
      </c>
      <c r="J49" s="8" t="s">
        <v>163</v>
      </c>
      <c r="K49" s="8"/>
      <c r="L49" s="39">
        <v>42460</v>
      </c>
      <c r="M49" s="60" t="s">
        <v>72</v>
      </c>
      <c r="N49" s="8" t="s">
        <v>93</v>
      </c>
      <c r="O49" s="42">
        <v>4329708.74</v>
      </c>
      <c r="P49" s="42">
        <v>145631.07</v>
      </c>
      <c r="Q49" s="42">
        <v>5802000</v>
      </c>
      <c r="R49" s="42">
        <v>0</v>
      </c>
      <c r="S49" s="43">
        <v>270</v>
      </c>
      <c r="T49" s="42">
        <v>762887.2999999998</v>
      </c>
      <c r="U49" s="42">
        <v>0</v>
      </c>
      <c r="V49" s="42">
        <v>762887.2999999998</v>
      </c>
      <c r="W49" s="44">
        <v>270</v>
      </c>
      <c r="X49" s="42">
        <v>5092596.04</v>
      </c>
      <c r="Y49" s="42">
        <v>145631.07</v>
      </c>
      <c r="Z49" s="42">
        <v>2873358.84</v>
      </c>
      <c r="AA49" s="46">
        <v>540</v>
      </c>
      <c r="AB49" s="44">
        <v>0</v>
      </c>
      <c r="AC49" s="44">
        <v>120</v>
      </c>
      <c r="AD49" s="42">
        <v>240000</v>
      </c>
      <c r="AE49" s="37"/>
      <c r="AF49" s="37"/>
      <c r="AG49" s="37">
        <v>42340</v>
      </c>
      <c r="AH49" s="37">
        <v>42611</v>
      </c>
      <c r="AI49" s="37"/>
      <c r="AJ49" s="37"/>
      <c r="AK49" s="47"/>
      <c r="AL49" s="47">
        <f>_xlfn.IFERROR(Z49/O49*100,0)</f>
        <v>66.36379055834595</v>
      </c>
      <c r="AM49" s="47">
        <f>_xlfn.IFERROR(AC49/S49*100,0)</f>
        <v>44.44444444444444</v>
      </c>
      <c r="AN49" s="47">
        <f>_xlfn.IFERROR(V49/X49*100,0)</f>
        <v>14.980322295502546</v>
      </c>
      <c r="AO49" s="47">
        <f>_xlfn.IFERROR(W49/AA49*100,0)</f>
        <v>50</v>
      </c>
      <c r="AP49" s="47">
        <f>_xlfn.IFERROR(((W49+AB49)/AA49)*100,0)</f>
        <v>50</v>
      </c>
      <c r="AQ49" s="47">
        <f>_xlfn.IFERROR((AD49/O49)*100,0)</f>
        <v>5.54309803296376</v>
      </c>
      <c r="AR49" s="48">
        <f>_xlfn.IFERROR((Q49/O49)*100,0)</f>
        <v>134.00439494689888</v>
      </c>
      <c r="AS49" s="35" t="s">
        <v>74</v>
      </c>
      <c r="AT49" s="26"/>
      <c r="AU49" s="26"/>
      <c r="AV49" s="26"/>
      <c r="AW49" s="26"/>
      <c r="AX49" s="26"/>
      <c r="AY49" s="26"/>
      <c r="AZ49" s="26"/>
      <c r="BA49" s="26"/>
      <c r="BB49" s="26"/>
      <c r="BC49" s="26"/>
    </row>
    <row r="50" spans="1:55" ht="13.5" customHeight="1">
      <c r="A50" s="8" t="s">
        <v>164</v>
      </c>
      <c r="B50" s="37">
        <v>41080</v>
      </c>
      <c r="C50" s="8" t="s">
        <v>6</v>
      </c>
      <c r="D50" s="8" t="s">
        <v>162</v>
      </c>
      <c r="E50" s="8"/>
      <c r="F50" s="8"/>
      <c r="G50" s="8" t="s">
        <v>162</v>
      </c>
      <c r="H50" s="8" t="s">
        <v>162</v>
      </c>
      <c r="I50" s="8" t="s">
        <v>162</v>
      </c>
      <c r="J50" s="8" t="s">
        <v>165</v>
      </c>
      <c r="K50" s="8"/>
      <c r="L50" s="39">
        <v>42460</v>
      </c>
      <c r="M50" s="28" t="s">
        <v>56</v>
      </c>
      <c r="N50" s="8" t="s">
        <v>103</v>
      </c>
      <c r="O50" s="42">
        <v>8649466.37</v>
      </c>
      <c r="P50" s="42">
        <v>288182.95</v>
      </c>
      <c r="Q50" s="42">
        <v>10535720</v>
      </c>
      <c r="R50" s="42">
        <v>0</v>
      </c>
      <c r="S50" s="43">
        <v>333</v>
      </c>
      <c r="T50" s="59">
        <v>0</v>
      </c>
      <c r="U50" s="59">
        <v>0</v>
      </c>
      <c r="V50" s="59">
        <v>0</v>
      </c>
      <c r="W50" s="61">
        <v>0</v>
      </c>
      <c r="X50" s="42">
        <v>8649466.37</v>
      </c>
      <c r="Y50" s="42">
        <v>288182.95</v>
      </c>
      <c r="Z50" s="59">
        <v>0</v>
      </c>
      <c r="AA50" s="61">
        <v>0</v>
      </c>
      <c r="AB50" s="61">
        <v>0</v>
      </c>
      <c r="AC50" s="61">
        <v>0</v>
      </c>
      <c r="AD50" s="59">
        <v>0</v>
      </c>
      <c r="AE50" s="60"/>
      <c r="AF50" s="60"/>
      <c r="AG50" s="60"/>
      <c r="AH50" s="60"/>
      <c r="AI50" s="37"/>
      <c r="AJ50" s="60"/>
      <c r="AK50" s="47"/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8">
        <v>121.80774569564574</v>
      </c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</row>
    <row r="51" spans="1:55" ht="13.5" customHeight="1">
      <c r="A51" s="8" t="s">
        <v>166</v>
      </c>
      <c r="B51" s="37">
        <v>41948</v>
      </c>
      <c r="C51" s="8" t="s">
        <v>6</v>
      </c>
      <c r="D51" s="8" t="s">
        <v>162</v>
      </c>
      <c r="E51" s="36">
        <v>44.10453611111111</v>
      </c>
      <c r="F51" s="36">
        <v>9.843625000000001</v>
      </c>
      <c r="G51" s="8" t="s">
        <v>162</v>
      </c>
      <c r="H51" s="8" t="s">
        <v>162</v>
      </c>
      <c r="I51" s="8" t="s">
        <v>162</v>
      </c>
      <c r="J51" s="8" t="s">
        <v>167</v>
      </c>
      <c r="K51" s="8"/>
      <c r="L51" s="39">
        <v>42460</v>
      </c>
      <c r="M51" s="28" t="s">
        <v>72</v>
      </c>
      <c r="N51" s="8" t="s">
        <v>93</v>
      </c>
      <c r="O51" s="42">
        <v>1120182.76</v>
      </c>
      <c r="P51" s="42">
        <v>32537.84</v>
      </c>
      <c r="Q51" s="42">
        <v>1490000</v>
      </c>
      <c r="R51" s="42">
        <v>0</v>
      </c>
      <c r="S51" s="43">
        <v>120</v>
      </c>
      <c r="T51" s="42">
        <v>55970.69999999995</v>
      </c>
      <c r="U51" s="42">
        <v>0</v>
      </c>
      <c r="V51" s="42">
        <v>55970.69999999995</v>
      </c>
      <c r="W51" s="44">
        <v>0</v>
      </c>
      <c r="X51" s="42">
        <v>1176153.46</v>
      </c>
      <c r="Y51" s="42">
        <v>32537.84</v>
      </c>
      <c r="Z51" s="42">
        <v>1176153.46</v>
      </c>
      <c r="AA51" s="43">
        <v>120</v>
      </c>
      <c r="AB51" s="44">
        <v>0</v>
      </c>
      <c r="AC51" s="44">
        <v>120</v>
      </c>
      <c r="AD51" s="42">
        <v>0</v>
      </c>
      <c r="AE51" s="37"/>
      <c r="AF51" s="37"/>
      <c r="AG51" s="37">
        <v>42053</v>
      </c>
      <c r="AH51" s="37">
        <v>42173</v>
      </c>
      <c r="AI51" s="37">
        <v>42271</v>
      </c>
      <c r="AJ51" s="37"/>
      <c r="AK51" s="47"/>
      <c r="AL51" s="47">
        <f aca="true" t="shared" si="0" ref="AL51:AL66">_xlfn.IFERROR(Z51/O51*100,0)</f>
        <v>104.99656859564594</v>
      </c>
      <c r="AM51" s="47">
        <f aca="true" t="shared" si="1" ref="AM51:AM66">_xlfn.IFERROR(AC51/S51*100,0)</f>
        <v>100</v>
      </c>
      <c r="AN51" s="47">
        <f aca="true" t="shared" si="2" ref="AN51:AN66">_xlfn.IFERROR(V51/X51*100,0)</f>
        <v>4.75879227528693</v>
      </c>
      <c r="AO51" s="47">
        <f aca="true" t="shared" si="3" ref="AO51:AO66">_xlfn.IFERROR(W51/AA51*100,0)</f>
        <v>0</v>
      </c>
      <c r="AP51" s="47">
        <f aca="true" t="shared" si="4" ref="AP51:AP66">_xlfn.IFERROR(((W51+AB51)/AA51)*100,0)</f>
        <v>0</v>
      </c>
      <c r="AQ51" s="47">
        <f aca="true" t="shared" si="5" ref="AQ51:AQ66">_xlfn.IFERROR((AD51/O51)*100,0)</f>
        <v>0</v>
      </c>
      <c r="AR51" s="48">
        <f aca="true" t="shared" si="6" ref="AR51:AR66">_xlfn.IFERROR((Q51/O51)*100,0)</f>
        <v>133.0140092497049</v>
      </c>
      <c r="AS51" s="35" t="s">
        <v>74</v>
      </c>
      <c r="AT51" s="26"/>
      <c r="AU51" s="26"/>
      <c r="AV51" s="26"/>
      <c r="AW51" s="26"/>
      <c r="AX51" s="26"/>
      <c r="AY51" s="26"/>
      <c r="AZ51" s="26"/>
      <c r="BA51" s="26"/>
      <c r="BB51" s="26"/>
      <c r="BC51" s="26"/>
    </row>
    <row r="52" spans="1:55" ht="13.5" customHeight="1">
      <c r="A52" s="8" t="s">
        <v>168</v>
      </c>
      <c r="B52" s="37">
        <v>41260</v>
      </c>
      <c r="C52" s="8" t="s">
        <v>6</v>
      </c>
      <c r="D52" s="8" t="s">
        <v>162</v>
      </c>
      <c r="E52" s="36">
        <v>44.10453611111111</v>
      </c>
      <c r="F52" s="36">
        <v>9.843625000000001</v>
      </c>
      <c r="G52" s="8" t="s">
        <v>162</v>
      </c>
      <c r="H52" s="8" t="s">
        <v>162</v>
      </c>
      <c r="I52" s="8" t="s">
        <v>162</v>
      </c>
      <c r="J52" s="8" t="s">
        <v>169</v>
      </c>
      <c r="K52" s="8"/>
      <c r="L52" s="39">
        <v>42460</v>
      </c>
      <c r="M52" s="60" t="s">
        <v>72</v>
      </c>
      <c r="N52" s="8" t="s">
        <v>93</v>
      </c>
      <c r="O52" s="42">
        <v>13942521.6</v>
      </c>
      <c r="P52" s="42">
        <v>0</v>
      </c>
      <c r="Q52" s="42">
        <v>16940000</v>
      </c>
      <c r="R52" s="42">
        <v>0</v>
      </c>
      <c r="S52" s="43">
        <v>150</v>
      </c>
      <c r="T52" s="59">
        <v>0</v>
      </c>
      <c r="U52" s="59">
        <v>0</v>
      </c>
      <c r="V52" s="59">
        <v>0</v>
      </c>
      <c r="W52" s="61">
        <v>0</v>
      </c>
      <c r="X52" s="42">
        <v>13942521.6</v>
      </c>
      <c r="Y52" s="42">
        <v>0</v>
      </c>
      <c r="Z52" s="42">
        <v>7598842.5</v>
      </c>
      <c r="AA52" s="43">
        <v>150</v>
      </c>
      <c r="AB52" s="44">
        <v>120</v>
      </c>
      <c r="AC52" s="46">
        <v>223</v>
      </c>
      <c r="AD52" s="42">
        <v>550000</v>
      </c>
      <c r="AE52" s="37"/>
      <c r="AF52" s="37"/>
      <c r="AG52" s="37">
        <v>42123</v>
      </c>
      <c r="AH52" s="37">
        <v>42551</v>
      </c>
      <c r="AI52" s="37"/>
      <c r="AJ52" s="37"/>
      <c r="AK52" s="47"/>
      <c r="AL52" s="47">
        <f t="shared" si="0"/>
        <v>54.50120658231579</v>
      </c>
      <c r="AM52" s="47">
        <f t="shared" si="1"/>
        <v>148.66666666666666</v>
      </c>
      <c r="AN52" s="47">
        <f t="shared" si="2"/>
        <v>0</v>
      </c>
      <c r="AO52" s="47">
        <f t="shared" si="3"/>
        <v>0</v>
      </c>
      <c r="AP52" s="47">
        <f t="shared" si="4"/>
        <v>80</v>
      </c>
      <c r="AQ52" s="47">
        <f t="shared" si="5"/>
        <v>3.9447670642303327</v>
      </c>
      <c r="AR52" s="48">
        <f t="shared" si="6"/>
        <v>121.49882557829426</v>
      </c>
      <c r="AS52" s="35" t="s">
        <v>74</v>
      </c>
      <c r="AT52" s="26"/>
      <c r="AU52" s="26"/>
      <c r="AV52" s="26"/>
      <c r="AW52" s="26"/>
      <c r="AX52" s="26"/>
      <c r="AY52" s="26"/>
      <c r="AZ52" s="26"/>
      <c r="BA52" s="26"/>
      <c r="BB52" s="26"/>
      <c r="BC52" s="26"/>
    </row>
    <row r="53" spans="1:55" ht="13.5" customHeight="1">
      <c r="A53" s="8" t="s">
        <v>170</v>
      </c>
      <c r="B53" s="37">
        <v>42021</v>
      </c>
      <c r="C53" s="8" t="s">
        <v>6</v>
      </c>
      <c r="D53" s="8" t="s">
        <v>162</v>
      </c>
      <c r="E53" s="36">
        <v>44.10453611111111</v>
      </c>
      <c r="F53" s="36">
        <v>9.843625000000001</v>
      </c>
      <c r="G53" s="8" t="s">
        <v>162</v>
      </c>
      <c r="H53" s="8" t="s">
        <v>162</v>
      </c>
      <c r="I53" s="8" t="s">
        <v>162</v>
      </c>
      <c r="J53" s="8" t="s">
        <v>171</v>
      </c>
      <c r="K53" s="8"/>
      <c r="L53" s="39">
        <v>42460</v>
      </c>
      <c r="M53" s="60" t="s">
        <v>72</v>
      </c>
      <c r="N53" s="8" t="s">
        <v>93</v>
      </c>
      <c r="O53" s="42">
        <v>1379586.17</v>
      </c>
      <c r="P53" s="42">
        <v>31000</v>
      </c>
      <c r="Q53" s="42">
        <v>1855000</v>
      </c>
      <c r="R53" s="42">
        <v>0</v>
      </c>
      <c r="S53" s="43">
        <v>185</v>
      </c>
      <c r="T53" s="59">
        <v>0</v>
      </c>
      <c r="U53" s="59">
        <v>0</v>
      </c>
      <c r="V53" s="59">
        <v>0</v>
      </c>
      <c r="W53" s="61">
        <v>0</v>
      </c>
      <c r="X53" s="42">
        <v>1379586.17</v>
      </c>
      <c r="Y53" s="42">
        <v>31000</v>
      </c>
      <c r="Z53" s="42">
        <v>725412.97</v>
      </c>
      <c r="AA53" s="43">
        <v>185</v>
      </c>
      <c r="AB53" s="44">
        <v>0</v>
      </c>
      <c r="AC53" s="44">
        <v>140</v>
      </c>
      <c r="AD53" s="42">
        <v>80000</v>
      </c>
      <c r="AE53" s="37"/>
      <c r="AF53" s="37"/>
      <c r="AG53" s="37">
        <v>42320</v>
      </c>
      <c r="AH53" s="37">
        <v>42505</v>
      </c>
      <c r="AI53" s="37"/>
      <c r="AJ53" s="37"/>
      <c r="AK53" s="47"/>
      <c r="AL53" s="47">
        <f t="shared" si="0"/>
        <v>52.58192534649721</v>
      </c>
      <c r="AM53" s="47">
        <f t="shared" si="1"/>
        <v>75.67567567567568</v>
      </c>
      <c r="AN53" s="47">
        <f t="shared" si="2"/>
        <v>0</v>
      </c>
      <c r="AO53" s="47">
        <f t="shared" si="3"/>
        <v>0</v>
      </c>
      <c r="AP53" s="47">
        <f t="shared" si="4"/>
        <v>0</v>
      </c>
      <c r="AQ53" s="47">
        <f t="shared" si="5"/>
        <v>5.798840387041572</v>
      </c>
      <c r="AR53" s="48">
        <f t="shared" si="6"/>
        <v>134.46061147452644</v>
      </c>
      <c r="AS53" s="35" t="s">
        <v>74</v>
      </c>
      <c r="AT53" s="26"/>
      <c r="AU53" s="26"/>
      <c r="AV53" s="26"/>
      <c r="AW53" s="26"/>
      <c r="AX53" s="26"/>
      <c r="AY53" s="26"/>
      <c r="AZ53" s="26"/>
      <c r="BA53" s="26"/>
      <c r="BB53" s="26"/>
      <c r="BC53" s="26"/>
    </row>
    <row r="54" spans="1:55" ht="13.5" customHeight="1">
      <c r="A54" s="8" t="s">
        <v>172</v>
      </c>
      <c r="B54" s="37">
        <v>41646</v>
      </c>
      <c r="C54" s="8" t="s">
        <v>6</v>
      </c>
      <c r="D54" s="8" t="s">
        <v>162</v>
      </c>
      <c r="E54" s="36">
        <v>44.10453611111111</v>
      </c>
      <c r="F54" s="36">
        <v>9.843625000000001</v>
      </c>
      <c r="G54" s="8" t="s">
        <v>162</v>
      </c>
      <c r="H54" s="66" t="s">
        <v>173</v>
      </c>
      <c r="I54" s="8" t="s">
        <v>162</v>
      </c>
      <c r="J54" s="8" t="s">
        <v>174</v>
      </c>
      <c r="K54" s="8"/>
      <c r="L54" s="39">
        <v>42460</v>
      </c>
      <c r="M54" s="60" t="s">
        <v>72</v>
      </c>
      <c r="N54" s="8" t="s">
        <v>93</v>
      </c>
      <c r="O54" s="42">
        <v>1224065.13</v>
      </c>
      <c r="P54" s="42">
        <v>29917.58</v>
      </c>
      <c r="Q54" s="42">
        <v>1500000</v>
      </c>
      <c r="R54" s="42">
        <v>0</v>
      </c>
      <c r="S54" s="43">
        <v>120</v>
      </c>
      <c r="T54" s="59">
        <v>0</v>
      </c>
      <c r="U54" s="59">
        <v>0</v>
      </c>
      <c r="V54" s="59">
        <v>0</v>
      </c>
      <c r="W54" s="61">
        <v>0</v>
      </c>
      <c r="X54" s="42">
        <v>1224065.13</v>
      </c>
      <c r="Y54" s="42">
        <v>29917.58</v>
      </c>
      <c r="Z54" s="42"/>
      <c r="AA54" s="62">
        <v>0</v>
      </c>
      <c r="AB54" s="61">
        <v>0</v>
      </c>
      <c r="AC54" s="61">
        <v>0</v>
      </c>
      <c r="AD54" s="42">
        <v>0</v>
      </c>
      <c r="AE54" s="37"/>
      <c r="AF54" s="37"/>
      <c r="AG54" s="53">
        <v>42458</v>
      </c>
      <c r="AH54" s="53">
        <v>42578</v>
      </c>
      <c r="AI54" s="37"/>
      <c r="AJ54" s="37"/>
      <c r="AK54" s="47"/>
      <c r="AL54" s="47">
        <f t="shared" si="0"/>
        <v>0</v>
      </c>
      <c r="AM54" s="47">
        <f t="shared" si="1"/>
        <v>0</v>
      </c>
      <c r="AN54" s="47">
        <f t="shared" si="2"/>
        <v>0</v>
      </c>
      <c r="AO54" s="47">
        <f t="shared" si="3"/>
        <v>0</v>
      </c>
      <c r="AP54" s="47">
        <f t="shared" si="4"/>
        <v>0</v>
      </c>
      <c r="AQ54" s="47">
        <f t="shared" si="5"/>
        <v>0</v>
      </c>
      <c r="AR54" s="48">
        <f t="shared" si="6"/>
        <v>122.54249902535825</v>
      </c>
      <c r="AS54" s="35" t="s">
        <v>74</v>
      </c>
      <c r="AT54" s="26"/>
      <c r="AU54" s="26"/>
      <c r="AV54" s="26"/>
      <c r="AW54" s="26"/>
      <c r="AX54" s="26"/>
      <c r="AY54" s="26"/>
      <c r="AZ54" s="26"/>
      <c r="BA54" s="26"/>
      <c r="BB54" s="26"/>
      <c r="BC54" s="26"/>
    </row>
    <row r="55" spans="1:55" ht="13.5" customHeight="1">
      <c r="A55" s="8" t="s">
        <v>175</v>
      </c>
      <c r="B55" s="37">
        <v>40161</v>
      </c>
      <c r="C55" s="8" t="s">
        <v>6</v>
      </c>
      <c r="D55" s="8" t="s">
        <v>162</v>
      </c>
      <c r="E55" s="36">
        <v>44.10453611111111</v>
      </c>
      <c r="F55" s="36">
        <v>9.843625000000001</v>
      </c>
      <c r="G55" s="8" t="s">
        <v>162</v>
      </c>
      <c r="H55" s="8" t="s">
        <v>162</v>
      </c>
      <c r="I55" s="8" t="s">
        <v>162</v>
      </c>
      <c r="J55" s="8" t="s">
        <v>176</v>
      </c>
      <c r="K55" s="8"/>
      <c r="L55" s="39">
        <v>42460</v>
      </c>
      <c r="M55" s="60" t="s">
        <v>72</v>
      </c>
      <c r="N55" s="8" t="s">
        <v>93</v>
      </c>
      <c r="O55" s="42">
        <v>5681023.67</v>
      </c>
      <c r="P55" s="42">
        <v>88520.26</v>
      </c>
      <c r="Q55" s="42">
        <v>8025000</v>
      </c>
      <c r="R55" s="42">
        <v>0</v>
      </c>
      <c r="S55" s="43">
        <v>345</v>
      </c>
      <c r="T55" s="59">
        <v>0</v>
      </c>
      <c r="U55" s="59">
        <v>0</v>
      </c>
      <c r="V55" s="59">
        <v>0</v>
      </c>
      <c r="W55" s="61">
        <v>0</v>
      </c>
      <c r="X55" s="42">
        <v>5681023.67</v>
      </c>
      <c r="Y55" s="42">
        <v>88520.26</v>
      </c>
      <c r="Z55" s="42">
        <v>936236.69</v>
      </c>
      <c r="AA55" s="43">
        <v>345</v>
      </c>
      <c r="AB55" s="44">
        <v>0</v>
      </c>
      <c r="AC55" s="44">
        <v>149</v>
      </c>
      <c r="AD55" s="42">
        <v>0</v>
      </c>
      <c r="AE55" s="37"/>
      <c r="AF55" s="37"/>
      <c r="AG55" s="37">
        <v>42311</v>
      </c>
      <c r="AH55" s="37">
        <v>42656</v>
      </c>
      <c r="AI55" s="37"/>
      <c r="AJ55" s="37"/>
      <c r="AK55" s="47"/>
      <c r="AL55" s="47">
        <f t="shared" si="0"/>
        <v>16.48007021945747</v>
      </c>
      <c r="AM55" s="47">
        <f t="shared" si="1"/>
        <v>43.188405797101446</v>
      </c>
      <c r="AN55" s="47">
        <f t="shared" si="2"/>
        <v>0</v>
      </c>
      <c r="AO55" s="47">
        <f t="shared" si="3"/>
        <v>0</v>
      </c>
      <c r="AP55" s="47">
        <f t="shared" si="4"/>
        <v>0</v>
      </c>
      <c r="AQ55" s="47">
        <f t="shared" si="5"/>
        <v>0</v>
      </c>
      <c r="AR55" s="48">
        <f t="shared" si="6"/>
        <v>141.25975292759165</v>
      </c>
      <c r="AS55" s="35" t="s">
        <v>74</v>
      </c>
      <c r="AT55" s="26"/>
      <c r="AU55" s="26"/>
      <c r="AV55" s="26"/>
      <c r="AW55" s="26"/>
      <c r="AX55" s="26"/>
      <c r="AY55" s="26"/>
      <c r="AZ55" s="26"/>
      <c r="BA55" s="26"/>
      <c r="BB55" s="26"/>
      <c r="BC55" s="26"/>
    </row>
    <row r="56" spans="1:55" ht="13.5" customHeight="1">
      <c r="A56" s="38" t="s">
        <v>177</v>
      </c>
      <c r="B56" s="37">
        <v>41631</v>
      </c>
      <c r="C56" s="38" t="s">
        <v>6</v>
      </c>
      <c r="D56" s="36" t="s">
        <v>178</v>
      </c>
      <c r="E56" s="36"/>
      <c r="F56" s="36"/>
      <c r="G56" s="36" t="s">
        <v>178</v>
      </c>
      <c r="H56" s="36" t="s">
        <v>178</v>
      </c>
      <c r="I56" s="36" t="s">
        <v>178</v>
      </c>
      <c r="J56" s="38" t="s">
        <v>179</v>
      </c>
      <c r="K56" s="38" t="s">
        <v>48</v>
      </c>
      <c r="L56" s="39">
        <v>42459</v>
      </c>
      <c r="M56" s="28" t="s">
        <v>56</v>
      </c>
      <c r="N56" s="40" t="s">
        <v>103</v>
      </c>
      <c r="O56" s="42">
        <v>0</v>
      </c>
      <c r="P56" s="42">
        <v>0</v>
      </c>
      <c r="Q56" s="42">
        <v>4000000</v>
      </c>
      <c r="R56" s="42">
        <v>0</v>
      </c>
      <c r="S56" s="43">
        <v>0</v>
      </c>
      <c r="T56" s="42">
        <v>0</v>
      </c>
      <c r="U56" s="42">
        <v>0</v>
      </c>
      <c r="V56" s="42">
        <f aca="true" t="shared" si="7" ref="V56:V64">U56+T56</f>
        <v>0</v>
      </c>
      <c r="W56" s="44">
        <v>0</v>
      </c>
      <c r="X56" s="42">
        <f aca="true" t="shared" si="8" ref="X56:X64">O56+T56</f>
        <v>0</v>
      </c>
      <c r="Y56" s="30">
        <f aca="true" t="shared" si="9" ref="Y56:Y64">SUM(P56+U56)</f>
        <v>0</v>
      </c>
      <c r="Z56" s="42">
        <v>0</v>
      </c>
      <c r="AA56" s="29">
        <f aca="true" t="shared" si="10" ref="AA56:AA64">S56+W56</f>
        <v>0</v>
      </c>
      <c r="AB56" s="44">
        <v>0</v>
      </c>
      <c r="AC56" s="46">
        <f>IF(N56="Progettazione",0,(L56-AG56-AB56))</f>
        <v>0</v>
      </c>
      <c r="AD56" s="42">
        <v>0</v>
      </c>
      <c r="AE56" s="37">
        <v>42213</v>
      </c>
      <c r="AF56" s="60"/>
      <c r="AG56" s="60"/>
      <c r="AH56" s="60"/>
      <c r="AI56" s="37"/>
      <c r="AJ56" s="37"/>
      <c r="AK56" s="47"/>
      <c r="AL56" s="47">
        <f t="shared" si="0"/>
        <v>0</v>
      </c>
      <c r="AM56" s="47">
        <f t="shared" si="1"/>
        <v>0</v>
      </c>
      <c r="AN56" s="47">
        <f t="shared" si="2"/>
        <v>0</v>
      </c>
      <c r="AO56" s="47">
        <f t="shared" si="3"/>
        <v>0</v>
      </c>
      <c r="AP56" s="47">
        <f t="shared" si="4"/>
        <v>0</v>
      </c>
      <c r="AQ56" s="47">
        <f t="shared" si="5"/>
        <v>0</v>
      </c>
      <c r="AR56" s="24">
        <f t="shared" si="6"/>
        <v>0</v>
      </c>
      <c r="AS56" s="35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55" ht="13.5" customHeight="1">
      <c r="A57" s="38" t="s">
        <v>180</v>
      </c>
      <c r="B57" s="37">
        <v>41327</v>
      </c>
      <c r="C57" s="38" t="s">
        <v>6</v>
      </c>
      <c r="D57" s="38" t="s">
        <v>178</v>
      </c>
      <c r="E57" s="36">
        <v>43.56095</v>
      </c>
      <c r="F57" s="36">
        <v>10.30141388888889</v>
      </c>
      <c r="G57" s="38" t="s">
        <v>178</v>
      </c>
      <c r="H57" s="38" t="s">
        <v>178</v>
      </c>
      <c r="I57" s="38" t="s">
        <v>178</v>
      </c>
      <c r="J57" s="38" t="s">
        <v>181</v>
      </c>
      <c r="K57" s="8" t="s">
        <v>60</v>
      </c>
      <c r="L57" s="39">
        <v>42459</v>
      </c>
      <c r="M57" s="60" t="s">
        <v>72</v>
      </c>
      <c r="N57" s="40" t="s">
        <v>182</v>
      </c>
      <c r="O57" s="42">
        <v>4742865.21</v>
      </c>
      <c r="P57" s="42">
        <v>318505.41</v>
      </c>
      <c r="Q57" s="42">
        <v>7122915</v>
      </c>
      <c r="R57" s="42">
        <v>0</v>
      </c>
      <c r="S57" s="43">
        <v>374</v>
      </c>
      <c r="T57" s="42">
        <v>0</v>
      </c>
      <c r="U57" s="42">
        <v>0</v>
      </c>
      <c r="V57" s="42">
        <f t="shared" si="7"/>
        <v>0</v>
      </c>
      <c r="W57" s="44">
        <v>0</v>
      </c>
      <c r="X57" s="42">
        <f t="shared" si="8"/>
        <v>4742865.21</v>
      </c>
      <c r="Y57" s="45">
        <f t="shared" si="9"/>
        <v>318505.41</v>
      </c>
      <c r="Z57" s="42">
        <v>0</v>
      </c>
      <c r="AA57" s="43">
        <f t="shared" si="10"/>
        <v>374</v>
      </c>
      <c r="AB57" s="44">
        <v>0</v>
      </c>
      <c r="AC57" s="46">
        <f>IF(N57="Progettazione",0,(L57-AG57-AB57))</f>
        <v>632</v>
      </c>
      <c r="AD57" s="59">
        <v>0</v>
      </c>
      <c r="AE57" s="37">
        <v>40759</v>
      </c>
      <c r="AF57" s="37">
        <v>41339</v>
      </c>
      <c r="AG57" s="37">
        <v>41827</v>
      </c>
      <c r="AH57" s="37">
        <v>42947</v>
      </c>
      <c r="AI57" s="37"/>
      <c r="AJ57" s="37"/>
      <c r="AK57" s="47"/>
      <c r="AL57" s="47">
        <f t="shared" si="0"/>
        <v>0</v>
      </c>
      <c r="AM57" s="47">
        <f t="shared" si="1"/>
        <v>168.98395721925135</v>
      </c>
      <c r="AN57" s="47">
        <f t="shared" si="2"/>
        <v>0</v>
      </c>
      <c r="AO57" s="47">
        <f t="shared" si="3"/>
        <v>0</v>
      </c>
      <c r="AP57" s="47">
        <f t="shared" si="4"/>
        <v>0</v>
      </c>
      <c r="AQ57" s="47">
        <f t="shared" si="5"/>
        <v>0</v>
      </c>
      <c r="AR57" s="48">
        <f t="shared" si="6"/>
        <v>150.18168732650955</v>
      </c>
      <c r="AS57" s="35" t="s">
        <v>74</v>
      </c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3.5" customHeight="1">
      <c r="A58" s="38" t="s">
        <v>183</v>
      </c>
      <c r="B58" s="37">
        <v>41114</v>
      </c>
      <c r="C58" s="38" t="s">
        <v>6</v>
      </c>
      <c r="D58" s="38" t="s">
        <v>178</v>
      </c>
      <c r="E58" s="36">
        <v>43.56095</v>
      </c>
      <c r="F58" s="36">
        <v>10.30141388888889</v>
      </c>
      <c r="G58" s="38" t="s">
        <v>178</v>
      </c>
      <c r="H58" s="38" t="s">
        <v>178</v>
      </c>
      <c r="I58" s="38" t="s">
        <v>178</v>
      </c>
      <c r="J58" s="38" t="s">
        <v>184</v>
      </c>
      <c r="K58" s="38" t="s">
        <v>60</v>
      </c>
      <c r="L58" s="39">
        <v>42459</v>
      </c>
      <c r="M58" s="28" t="s">
        <v>72</v>
      </c>
      <c r="N58" s="40" t="s">
        <v>182</v>
      </c>
      <c r="O58" s="42">
        <v>1774981.55</v>
      </c>
      <c r="P58" s="42">
        <v>76636.5</v>
      </c>
      <c r="Q58" s="42">
        <v>3191327</v>
      </c>
      <c r="R58" s="42">
        <v>0</v>
      </c>
      <c r="S58" s="43">
        <v>196</v>
      </c>
      <c r="T58" s="42">
        <v>0</v>
      </c>
      <c r="U58" s="42">
        <v>0</v>
      </c>
      <c r="V58" s="42">
        <f t="shared" si="7"/>
        <v>0</v>
      </c>
      <c r="W58" s="44">
        <v>0</v>
      </c>
      <c r="X58" s="42">
        <f t="shared" si="8"/>
        <v>1774981.55</v>
      </c>
      <c r="Y58" s="45">
        <f t="shared" si="9"/>
        <v>76636.5</v>
      </c>
      <c r="Z58" s="42">
        <v>0</v>
      </c>
      <c r="AA58" s="43">
        <f t="shared" si="10"/>
        <v>196</v>
      </c>
      <c r="AB58" s="61">
        <v>20</v>
      </c>
      <c r="AC58" s="63">
        <v>0</v>
      </c>
      <c r="AD58" s="59">
        <v>0</v>
      </c>
      <c r="AE58" s="37">
        <v>40858</v>
      </c>
      <c r="AF58" s="37">
        <v>41114</v>
      </c>
      <c r="AG58" s="67">
        <v>42937</v>
      </c>
      <c r="AH58" s="67">
        <v>42768</v>
      </c>
      <c r="AI58" s="37"/>
      <c r="AJ58" s="37"/>
      <c r="AK58" s="47"/>
      <c r="AL58" s="47">
        <f t="shared" si="0"/>
        <v>0</v>
      </c>
      <c r="AM58" s="47">
        <f t="shared" si="1"/>
        <v>0</v>
      </c>
      <c r="AN58" s="47">
        <f t="shared" si="2"/>
        <v>0</v>
      </c>
      <c r="AO58" s="47">
        <f t="shared" si="3"/>
        <v>0</v>
      </c>
      <c r="AP58" s="47">
        <f t="shared" si="4"/>
        <v>10.204081632653061</v>
      </c>
      <c r="AQ58" s="47">
        <f t="shared" si="5"/>
        <v>0</v>
      </c>
      <c r="AR58" s="48">
        <f t="shared" si="6"/>
        <v>179.79493927697445</v>
      </c>
      <c r="AS58" s="35" t="s">
        <v>74</v>
      </c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55" ht="13.5" customHeight="1">
      <c r="A59" s="38" t="s">
        <v>185</v>
      </c>
      <c r="B59" s="37">
        <v>42380</v>
      </c>
      <c r="C59" s="38" t="s">
        <v>6</v>
      </c>
      <c r="D59" s="38" t="s">
        <v>178</v>
      </c>
      <c r="E59" s="38"/>
      <c r="F59" s="38"/>
      <c r="G59" s="38" t="s">
        <v>178</v>
      </c>
      <c r="H59" s="38" t="s">
        <v>178</v>
      </c>
      <c r="I59" s="38" t="s">
        <v>178</v>
      </c>
      <c r="J59" s="38" t="s">
        <v>186</v>
      </c>
      <c r="K59" s="38" t="s">
        <v>60</v>
      </c>
      <c r="L59" s="39">
        <v>42459</v>
      </c>
      <c r="M59" s="28" t="s">
        <v>56</v>
      </c>
      <c r="N59" s="40" t="s">
        <v>103</v>
      </c>
      <c r="O59" s="42">
        <v>0</v>
      </c>
      <c r="P59" s="42">
        <v>0</v>
      </c>
      <c r="Q59" s="42">
        <v>187534800</v>
      </c>
      <c r="R59" s="42">
        <v>326700000</v>
      </c>
      <c r="S59" s="43">
        <v>0</v>
      </c>
      <c r="T59" s="42">
        <v>0</v>
      </c>
      <c r="U59" s="42">
        <v>0</v>
      </c>
      <c r="V59" s="42">
        <f t="shared" si="7"/>
        <v>0</v>
      </c>
      <c r="W59" s="44">
        <v>0</v>
      </c>
      <c r="X59" s="42">
        <f t="shared" si="8"/>
        <v>0</v>
      </c>
      <c r="Y59" s="30">
        <f t="shared" si="9"/>
        <v>0</v>
      </c>
      <c r="Z59" s="42">
        <v>0</v>
      </c>
      <c r="AA59" s="29">
        <f t="shared" si="10"/>
        <v>0</v>
      </c>
      <c r="AB59" s="44">
        <v>0</v>
      </c>
      <c r="AC59" s="46">
        <f aca="true" t="shared" si="11" ref="AC59:AC64">IF(N59="Progettazione",0,(L59-AG59-AB59))</f>
        <v>0</v>
      </c>
      <c r="AD59" s="42">
        <v>0</v>
      </c>
      <c r="AE59" s="37">
        <v>41486</v>
      </c>
      <c r="AF59" s="37">
        <v>42368</v>
      </c>
      <c r="AG59" s="60"/>
      <c r="AH59" s="60"/>
      <c r="AI59" s="37"/>
      <c r="AJ59" s="37"/>
      <c r="AK59" s="47"/>
      <c r="AL59" s="47">
        <f t="shared" si="0"/>
        <v>0</v>
      </c>
      <c r="AM59" s="47">
        <f t="shared" si="1"/>
        <v>0</v>
      </c>
      <c r="AN59" s="47">
        <f t="shared" si="2"/>
        <v>0</v>
      </c>
      <c r="AO59" s="47">
        <f t="shared" si="3"/>
        <v>0</v>
      </c>
      <c r="AP59" s="47">
        <f t="shared" si="4"/>
        <v>0</v>
      </c>
      <c r="AQ59" s="47">
        <f t="shared" si="5"/>
        <v>0</v>
      </c>
      <c r="AR59" s="24">
        <f t="shared" si="6"/>
        <v>0</v>
      </c>
      <c r="AS59" s="35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55" ht="13.5" customHeight="1">
      <c r="A60" s="38" t="s">
        <v>187</v>
      </c>
      <c r="B60" s="37">
        <v>40900</v>
      </c>
      <c r="C60" s="38" t="s">
        <v>6</v>
      </c>
      <c r="D60" s="38" t="s">
        <v>178</v>
      </c>
      <c r="E60" s="36">
        <v>43.56095</v>
      </c>
      <c r="F60" s="36">
        <v>10.30141388888889</v>
      </c>
      <c r="G60" s="38" t="s">
        <v>178</v>
      </c>
      <c r="H60" s="38" t="s">
        <v>178</v>
      </c>
      <c r="I60" s="38" t="s">
        <v>178</v>
      </c>
      <c r="J60" s="38" t="s">
        <v>188</v>
      </c>
      <c r="K60" s="38" t="s">
        <v>60</v>
      </c>
      <c r="L60" s="39">
        <v>42459</v>
      </c>
      <c r="M60" s="60" t="s">
        <v>72</v>
      </c>
      <c r="N60" s="40" t="s">
        <v>182</v>
      </c>
      <c r="O60" s="42">
        <v>877486</v>
      </c>
      <c r="P60" s="42">
        <v>62189.2</v>
      </c>
      <c r="Q60" s="42">
        <v>1919768</v>
      </c>
      <c r="R60" s="42">
        <v>0</v>
      </c>
      <c r="S60" s="43">
        <v>102</v>
      </c>
      <c r="T60" s="42">
        <v>0</v>
      </c>
      <c r="U60" s="42">
        <v>0</v>
      </c>
      <c r="V60" s="42">
        <f t="shared" si="7"/>
        <v>0</v>
      </c>
      <c r="W60" s="44">
        <v>0</v>
      </c>
      <c r="X60" s="42">
        <f t="shared" si="8"/>
        <v>877486</v>
      </c>
      <c r="Y60" s="45">
        <f t="shared" si="9"/>
        <v>62189.2</v>
      </c>
      <c r="Z60" s="42">
        <v>408880.02</v>
      </c>
      <c r="AA60" s="43">
        <f t="shared" si="10"/>
        <v>102</v>
      </c>
      <c r="AB60" s="44">
        <v>80</v>
      </c>
      <c r="AC60" s="46">
        <f t="shared" si="11"/>
        <v>97</v>
      </c>
      <c r="AD60" s="42">
        <v>0</v>
      </c>
      <c r="AE60" s="37">
        <v>40737</v>
      </c>
      <c r="AF60" s="37">
        <v>40899</v>
      </c>
      <c r="AG60" s="37">
        <v>42282</v>
      </c>
      <c r="AH60" s="37">
        <v>42582</v>
      </c>
      <c r="AI60" s="37"/>
      <c r="AJ60" s="37"/>
      <c r="AK60" s="47"/>
      <c r="AL60" s="47">
        <f t="shared" si="0"/>
        <v>46.59675709925857</v>
      </c>
      <c r="AM60" s="47">
        <f t="shared" si="1"/>
        <v>95.09803921568627</v>
      </c>
      <c r="AN60" s="47">
        <f t="shared" si="2"/>
        <v>0</v>
      </c>
      <c r="AO60" s="47">
        <f t="shared" si="3"/>
        <v>0</v>
      </c>
      <c r="AP60" s="47">
        <f t="shared" si="4"/>
        <v>78.43137254901961</v>
      </c>
      <c r="AQ60" s="47">
        <f t="shared" si="5"/>
        <v>0</v>
      </c>
      <c r="AR60" s="48">
        <f t="shared" si="6"/>
        <v>218.78047057161027</v>
      </c>
      <c r="AS60" s="35" t="s">
        <v>74</v>
      </c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55" ht="13.5" customHeight="1">
      <c r="A61" s="38" t="s">
        <v>189</v>
      </c>
      <c r="B61" s="53">
        <v>41473</v>
      </c>
      <c r="C61" s="38" t="s">
        <v>6</v>
      </c>
      <c r="D61" s="38" t="s">
        <v>178</v>
      </c>
      <c r="E61" s="36">
        <v>43.56095</v>
      </c>
      <c r="F61" s="36">
        <v>10.30141388888889</v>
      </c>
      <c r="G61" s="38" t="s">
        <v>178</v>
      </c>
      <c r="H61" s="38" t="s">
        <v>178</v>
      </c>
      <c r="I61" s="38" t="s">
        <v>178</v>
      </c>
      <c r="J61" s="38" t="s">
        <v>190</v>
      </c>
      <c r="K61" s="8" t="s">
        <v>60</v>
      </c>
      <c r="L61" s="39">
        <v>42459</v>
      </c>
      <c r="M61" s="60" t="s">
        <v>72</v>
      </c>
      <c r="N61" s="8" t="s">
        <v>182</v>
      </c>
      <c r="O61" s="42">
        <v>4890508</v>
      </c>
      <c r="P61" s="42">
        <v>221970.54</v>
      </c>
      <c r="Q61" s="41">
        <v>10654808.26</v>
      </c>
      <c r="R61" s="42">
        <v>0</v>
      </c>
      <c r="S61" s="43">
        <v>480</v>
      </c>
      <c r="T61" s="42">
        <v>0</v>
      </c>
      <c r="U61" s="42">
        <v>0</v>
      </c>
      <c r="V61" s="42">
        <f t="shared" si="7"/>
        <v>0</v>
      </c>
      <c r="W61" s="44">
        <v>0</v>
      </c>
      <c r="X61" s="42">
        <f t="shared" si="8"/>
        <v>4890508</v>
      </c>
      <c r="Y61" s="45">
        <f t="shared" si="9"/>
        <v>221970.54</v>
      </c>
      <c r="Z61" s="42">
        <v>2232401.72</v>
      </c>
      <c r="AA61" s="43">
        <f t="shared" si="10"/>
        <v>480</v>
      </c>
      <c r="AB61" s="44">
        <v>0</v>
      </c>
      <c r="AC61" s="46">
        <f t="shared" si="11"/>
        <v>373</v>
      </c>
      <c r="AD61" s="42">
        <v>0</v>
      </c>
      <c r="AE61" s="37">
        <v>36264</v>
      </c>
      <c r="AF61" s="37">
        <v>41435</v>
      </c>
      <c r="AG61" s="37">
        <v>42086</v>
      </c>
      <c r="AH61" s="37">
        <f>AG61+AA61</f>
        <v>42566</v>
      </c>
      <c r="AI61" s="37"/>
      <c r="AJ61" s="37"/>
      <c r="AK61" s="47"/>
      <c r="AL61" s="47">
        <f t="shared" si="0"/>
        <v>45.647644784549996</v>
      </c>
      <c r="AM61" s="47">
        <f t="shared" si="1"/>
        <v>77.70833333333333</v>
      </c>
      <c r="AN61" s="47">
        <f t="shared" si="2"/>
        <v>0</v>
      </c>
      <c r="AO61" s="47">
        <f t="shared" si="3"/>
        <v>0</v>
      </c>
      <c r="AP61" s="47">
        <f t="shared" si="4"/>
        <v>0</v>
      </c>
      <c r="AQ61" s="47">
        <f t="shared" si="5"/>
        <v>0</v>
      </c>
      <c r="AR61" s="48">
        <f t="shared" si="6"/>
        <v>217.86710623927004</v>
      </c>
      <c r="AS61" s="35" t="s">
        <v>74</v>
      </c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ht="13.5" customHeight="1">
      <c r="A62" s="38" t="s">
        <v>191</v>
      </c>
      <c r="B62" s="53">
        <v>40561</v>
      </c>
      <c r="C62" s="38" t="s">
        <v>6</v>
      </c>
      <c r="D62" s="38" t="s">
        <v>178</v>
      </c>
      <c r="E62" s="38"/>
      <c r="F62" s="38"/>
      <c r="G62" s="38" t="s">
        <v>178</v>
      </c>
      <c r="H62" s="38" t="s">
        <v>178</v>
      </c>
      <c r="I62" s="38" t="s">
        <v>178</v>
      </c>
      <c r="J62" s="38" t="s">
        <v>192</v>
      </c>
      <c r="K62" s="38" t="s">
        <v>60</v>
      </c>
      <c r="L62" s="39">
        <v>42459</v>
      </c>
      <c r="M62" s="28" t="s">
        <v>56</v>
      </c>
      <c r="N62" s="38" t="s">
        <v>103</v>
      </c>
      <c r="O62" s="42">
        <v>0</v>
      </c>
      <c r="P62" s="42">
        <v>0</v>
      </c>
      <c r="Q62" s="42">
        <v>1599740.31</v>
      </c>
      <c r="R62" s="42">
        <v>0</v>
      </c>
      <c r="S62" s="43">
        <v>0</v>
      </c>
      <c r="T62" s="42">
        <v>0</v>
      </c>
      <c r="U62" s="42">
        <v>0</v>
      </c>
      <c r="V62" s="42">
        <f t="shared" si="7"/>
        <v>0</v>
      </c>
      <c r="W62" s="44">
        <v>0</v>
      </c>
      <c r="X62" s="42">
        <f t="shared" si="8"/>
        <v>0</v>
      </c>
      <c r="Y62" s="30">
        <f t="shared" si="9"/>
        <v>0</v>
      </c>
      <c r="Z62" s="42">
        <v>0</v>
      </c>
      <c r="AA62" s="29">
        <f t="shared" si="10"/>
        <v>0</v>
      </c>
      <c r="AB62" s="44">
        <v>0</v>
      </c>
      <c r="AC62" s="46">
        <f t="shared" si="11"/>
        <v>0</v>
      </c>
      <c r="AD62" s="42">
        <v>0</v>
      </c>
      <c r="AE62" s="37">
        <v>42114</v>
      </c>
      <c r="AF62" s="37">
        <v>42360</v>
      </c>
      <c r="AG62" s="60"/>
      <c r="AH62" s="60"/>
      <c r="AI62" s="37"/>
      <c r="AJ62" s="37"/>
      <c r="AK62" s="47"/>
      <c r="AL62" s="47">
        <f t="shared" si="0"/>
        <v>0</v>
      </c>
      <c r="AM62" s="47">
        <f t="shared" si="1"/>
        <v>0</v>
      </c>
      <c r="AN62" s="47">
        <f t="shared" si="2"/>
        <v>0</v>
      </c>
      <c r="AO62" s="47">
        <f t="shared" si="3"/>
        <v>0</v>
      </c>
      <c r="AP62" s="47">
        <f t="shared" si="4"/>
        <v>0</v>
      </c>
      <c r="AQ62" s="47">
        <f t="shared" si="5"/>
        <v>0</v>
      </c>
      <c r="AR62" s="24">
        <f t="shared" si="6"/>
        <v>0</v>
      </c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55" ht="13.5" customHeight="1">
      <c r="A63" s="38" t="s">
        <v>193</v>
      </c>
      <c r="B63" s="53">
        <v>42207</v>
      </c>
      <c r="C63" s="38" t="s">
        <v>6</v>
      </c>
      <c r="D63" s="38" t="s">
        <v>178</v>
      </c>
      <c r="E63" s="38"/>
      <c r="F63" s="38"/>
      <c r="G63" s="38" t="s">
        <v>178</v>
      </c>
      <c r="H63" s="38" t="s">
        <v>178</v>
      </c>
      <c r="I63" s="38" t="s">
        <v>178</v>
      </c>
      <c r="J63" s="38" t="s">
        <v>194</v>
      </c>
      <c r="K63" s="38" t="s">
        <v>195</v>
      </c>
      <c r="L63" s="39">
        <v>42459</v>
      </c>
      <c r="M63" s="28" t="s">
        <v>56</v>
      </c>
      <c r="N63" s="38" t="s">
        <v>103</v>
      </c>
      <c r="O63" s="59">
        <v>0</v>
      </c>
      <c r="P63" s="59">
        <v>0</v>
      </c>
      <c r="Q63" s="42">
        <v>3745000</v>
      </c>
      <c r="R63" s="42">
        <v>0</v>
      </c>
      <c r="S63" s="43">
        <v>0</v>
      </c>
      <c r="T63" s="42">
        <v>0</v>
      </c>
      <c r="U63" s="42">
        <v>0</v>
      </c>
      <c r="V63" s="42">
        <f t="shared" si="7"/>
        <v>0</v>
      </c>
      <c r="W63" s="44">
        <v>0</v>
      </c>
      <c r="X63" s="42">
        <f t="shared" si="8"/>
        <v>0</v>
      </c>
      <c r="Y63" s="30">
        <f t="shared" si="9"/>
        <v>0</v>
      </c>
      <c r="Z63" s="42">
        <v>0</v>
      </c>
      <c r="AA63" s="29">
        <f t="shared" si="10"/>
        <v>0</v>
      </c>
      <c r="AB63" s="44">
        <v>0</v>
      </c>
      <c r="AC63" s="46">
        <f t="shared" si="11"/>
        <v>0</v>
      </c>
      <c r="AD63" s="42">
        <v>0</v>
      </c>
      <c r="AE63" s="37">
        <v>42207</v>
      </c>
      <c r="AF63" s="60"/>
      <c r="AG63" s="60"/>
      <c r="AH63" s="60"/>
      <c r="AI63" s="37"/>
      <c r="AJ63" s="37"/>
      <c r="AK63" s="47"/>
      <c r="AL63" s="47">
        <f t="shared" si="0"/>
        <v>0</v>
      </c>
      <c r="AM63" s="47">
        <f t="shared" si="1"/>
        <v>0</v>
      </c>
      <c r="AN63" s="47">
        <f t="shared" si="2"/>
        <v>0</v>
      </c>
      <c r="AO63" s="47">
        <f t="shared" si="3"/>
        <v>0</v>
      </c>
      <c r="AP63" s="47">
        <f t="shared" si="4"/>
        <v>0</v>
      </c>
      <c r="AQ63" s="47">
        <f t="shared" si="5"/>
        <v>0</v>
      </c>
      <c r="AR63" s="24">
        <f t="shared" si="6"/>
        <v>0</v>
      </c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55" ht="13.5" customHeight="1">
      <c r="A64" s="38" t="s">
        <v>196</v>
      </c>
      <c r="B64" s="53">
        <v>40886</v>
      </c>
      <c r="C64" s="38" t="s">
        <v>6</v>
      </c>
      <c r="D64" s="38" t="s">
        <v>178</v>
      </c>
      <c r="E64" s="38"/>
      <c r="F64" s="38"/>
      <c r="G64" s="38" t="s">
        <v>178</v>
      </c>
      <c r="H64" s="38" t="s">
        <v>178</v>
      </c>
      <c r="I64" s="38" t="s">
        <v>178</v>
      </c>
      <c r="J64" s="38" t="s">
        <v>197</v>
      </c>
      <c r="K64" s="8" t="s">
        <v>60</v>
      </c>
      <c r="L64" s="39">
        <v>42459</v>
      </c>
      <c r="M64" s="28" t="s">
        <v>56</v>
      </c>
      <c r="N64" s="8" t="s">
        <v>103</v>
      </c>
      <c r="O64" s="42">
        <v>0</v>
      </c>
      <c r="P64" s="42">
        <v>0</v>
      </c>
      <c r="Q64" s="42">
        <v>14807408</v>
      </c>
      <c r="R64" s="42">
        <v>0</v>
      </c>
      <c r="S64" s="43">
        <v>0</v>
      </c>
      <c r="T64" s="42">
        <v>0</v>
      </c>
      <c r="U64" s="42">
        <v>0</v>
      </c>
      <c r="V64" s="42">
        <f t="shared" si="7"/>
        <v>0</v>
      </c>
      <c r="W64" s="44">
        <v>0</v>
      </c>
      <c r="X64" s="42">
        <f t="shared" si="8"/>
        <v>0</v>
      </c>
      <c r="Y64" s="30">
        <f t="shared" si="9"/>
        <v>0</v>
      </c>
      <c r="Z64" s="42">
        <v>0</v>
      </c>
      <c r="AA64" s="29">
        <f t="shared" si="10"/>
        <v>0</v>
      </c>
      <c r="AB64" s="44">
        <v>0</v>
      </c>
      <c r="AC64" s="46">
        <f t="shared" si="11"/>
        <v>0</v>
      </c>
      <c r="AD64" s="42">
        <v>0</v>
      </c>
      <c r="AE64" s="37">
        <v>42256</v>
      </c>
      <c r="AF64" s="60"/>
      <c r="AG64" s="60"/>
      <c r="AH64" s="60"/>
      <c r="AI64" s="37"/>
      <c r="AJ64" s="37"/>
      <c r="AK64" s="47"/>
      <c r="AL64" s="47">
        <f t="shared" si="0"/>
        <v>0</v>
      </c>
      <c r="AM64" s="47">
        <f t="shared" si="1"/>
        <v>0</v>
      </c>
      <c r="AN64" s="47">
        <f t="shared" si="2"/>
        <v>0</v>
      </c>
      <c r="AO64" s="47">
        <f t="shared" si="3"/>
        <v>0</v>
      </c>
      <c r="AP64" s="47">
        <f t="shared" si="4"/>
        <v>0</v>
      </c>
      <c r="AQ64" s="47">
        <f t="shared" si="5"/>
        <v>0</v>
      </c>
      <c r="AR64" s="24">
        <f t="shared" si="6"/>
        <v>0</v>
      </c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55" ht="13.5" customHeight="1">
      <c r="A65" s="36" t="s">
        <v>198</v>
      </c>
      <c r="B65" s="37">
        <v>41500</v>
      </c>
      <c r="C65" s="38" t="s">
        <v>6</v>
      </c>
      <c r="D65" s="38" t="s">
        <v>199</v>
      </c>
      <c r="E65" s="36">
        <v>42.934213888888884</v>
      </c>
      <c r="F65" s="36">
        <v>10.544702777777777</v>
      </c>
      <c r="G65" s="38" t="s">
        <v>199</v>
      </c>
      <c r="H65" s="38" t="s">
        <v>199</v>
      </c>
      <c r="I65" s="38" t="s">
        <v>178</v>
      </c>
      <c r="J65" s="38" t="s">
        <v>200</v>
      </c>
      <c r="K65" s="38"/>
      <c r="L65" s="39">
        <v>42550</v>
      </c>
      <c r="M65" s="60" t="s">
        <v>72</v>
      </c>
      <c r="N65" s="40" t="s">
        <v>93</v>
      </c>
      <c r="O65" s="59">
        <v>82324057.68</v>
      </c>
      <c r="P65" s="59">
        <v>750000</v>
      </c>
      <c r="Q65" s="59">
        <v>82324057.68</v>
      </c>
      <c r="R65" s="42">
        <v>0</v>
      </c>
      <c r="S65" s="43">
        <v>360</v>
      </c>
      <c r="T65" s="59">
        <v>3762052.75</v>
      </c>
      <c r="U65" s="42">
        <v>0</v>
      </c>
      <c r="V65" s="59">
        <v>3762052.75</v>
      </c>
      <c r="W65" s="44">
        <v>180</v>
      </c>
      <c r="X65" s="59">
        <v>86642555.25</v>
      </c>
      <c r="Y65" s="45">
        <v>750000</v>
      </c>
      <c r="Z65" s="45">
        <v>77814160.31</v>
      </c>
      <c r="AA65" s="55">
        <v>743</v>
      </c>
      <c r="AB65" s="56">
        <v>0</v>
      </c>
      <c r="AC65" s="55">
        <v>720</v>
      </c>
      <c r="AD65" s="41">
        <v>20469641.48</v>
      </c>
      <c r="AE65" s="68">
        <v>41407</v>
      </c>
      <c r="AF65" s="68">
        <v>41705</v>
      </c>
      <c r="AG65" s="53">
        <v>41747</v>
      </c>
      <c r="AH65" s="53">
        <v>42551</v>
      </c>
      <c r="AI65" s="53">
        <v>42490</v>
      </c>
      <c r="AJ65" s="53">
        <v>42490</v>
      </c>
      <c r="AK65" s="47"/>
      <c r="AL65" s="47">
        <f t="shared" si="0"/>
        <v>94.5217746827661</v>
      </c>
      <c r="AM65" s="47">
        <f t="shared" si="1"/>
        <v>200</v>
      </c>
      <c r="AN65" s="47">
        <f t="shared" si="2"/>
        <v>4.3420380887254595</v>
      </c>
      <c r="AO65" s="47">
        <f t="shared" si="3"/>
        <v>24.226110363391655</v>
      </c>
      <c r="AP65" s="47">
        <f t="shared" si="4"/>
        <v>24.226110363391655</v>
      </c>
      <c r="AQ65" s="47">
        <f t="shared" si="5"/>
        <v>24.86471398138207</v>
      </c>
      <c r="AR65" s="48">
        <f t="shared" si="6"/>
        <v>100</v>
      </c>
      <c r="AS65" s="35" t="s">
        <v>74</v>
      </c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55" ht="13.5" customHeight="1">
      <c r="A66" s="36" t="s">
        <v>198</v>
      </c>
      <c r="B66" s="37">
        <v>41500</v>
      </c>
      <c r="C66" s="38" t="s">
        <v>6</v>
      </c>
      <c r="D66" s="38" t="s">
        <v>199</v>
      </c>
      <c r="E66" s="36">
        <v>42.934213888888884</v>
      </c>
      <c r="F66" s="36">
        <v>10.544702777777777</v>
      </c>
      <c r="G66" s="38" t="s">
        <v>199</v>
      </c>
      <c r="H66" s="38" t="s">
        <v>199</v>
      </c>
      <c r="I66" s="38" t="s">
        <v>178</v>
      </c>
      <c r="J66" s="38" t="s">
        <v>201</v>
      </c>
      <c r="K66" s="38"/>
      <c r="L66" s="39">
        <v>42550</v>
      </c>
      <c r="M66" s="60" t="s">
        <v>72</v>
      </c>
      <c r="N66" s="40" t="s">
        <v>93</v>
      </c>
      <c r="O66" s="59">
        <v>16437250</v>
      </c>
      <c r="P66" s="59">
        <v>150000</v>
      </c>
      <c r="Q66" s="59">
        <v>16437250</v>
      </c>
      <c r="R66" s="42">
        <v>0</v>
      </c>
      <c r="S66" s="43">
        <v>457</v>
      </c>
      <c r="T66" s="42">
        <v>0</v>
      </c>
      <c r="U66" s="42">
        <v>0</v>
      </c>
      <c r="V66" s="42">
        <v>0</v>
      </c>
      <c r="W66" s="44">
        <v>0</v>
      </c>
      <c r="X66" s="59">
        <v>16437250</v>
      </c>
      <c r="Y66" s="45">
        <v>150000</v>
      </c>
      <c r="Z66" s="45">
        <v>5435660.85</v>
      </c>
      <c r="AA66" s="55">
        <v>457</v>
      </c>
      <c r="AB66" s="56">
        <v>0</v>
      </c>
      <c r="AC66" s="55">
        <v>61</v>
      </c>
      <c r="AD66" s="41">
        <v>80000</v>
      </c>
      <c r="AE66" s="53">
        <v>42188</v>
      </c>
      <c r="AF66" s="53">
        <v>42369</v>
      </c>
      <c r="AG66" s="53">
        <v>42403</v>
      </c>
      <c r="AH66" s="53">
        <v>42857</v>
      </c>
      <c r="AI66" s="37">
        <v>42857</v>
      </c>
      <c r="AJ66" s="37">
        <v>42857</v>
      </c>
      <c r="AK66" s="47"/>
      <c r="AL66" s="47">
        <f t="shared" si="0"/>
        <v>33.06916211653409</v>
      </c>
      <c r="AM66" s="47">
        <f t="shared" si="1"/>
        <v>13.347921225382933</v>
      </c>
      <c r="AN66" s="47">
        <f t="shared" si="2"/>
        <v>0</v>
      </c>
      <c r="AO66" s="47">
        <f t="shared" si="3"/>
        <v>0</v>
      </c>
      <c r="AP66" s="47">
        <f t="shared" si="4"/>
        <v>0</v>
      </c>
      <c r="AQ66" s="47">
        <f t="shared" si="5"/>
        <v>0.48669941748163464</v>
      </c>
      <c r="AR66" s="48">
        <f t="shared" si="6"/>
        <v>100</v>
      </c>
      <c r="AS66" s="35" t="s">
        <v>74</v>
      </c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55" ht="13.5" customHeight="1">
      <c r="A67" s="11" t="s">
        <v>202</v>
      </c>
      <c r="B67" s="37">
        <v>42223</v>
      </c>
      <c r="C67" s="38" t="s">
        <v>6</v>
      </c>
      <c r="D67" s="10" t="s">
        <v>199</v>
      </c>
      <c r="E67" s="10"/>
      <c r="F67" s="10"/>
      <c r="G67" s="10" t="s">
        <v>199</v>
      </c>
      <c r="H67" s="10" t="s">
        <v>199</v>
      </c>
      <c r="I67" s="10" t="s">
        <v>178</v>
      </c>
      <c r="J67" s="10" t="s">
        <v>203</v>
      </c>
      <c r="K67" s="38"/>
      <c r="L67" s="39">
        <v>42550</v>
      </c>
      <c r="M67" s="28" t="s">
        <v>56</v>
      </c>
      <c r="N67" s="40" t="s">
        <v>103</v>
      </c>
      <c r="O67" s="59">
        <v>17820657.6</v>
      </c>
      <c r="P67" s="59">
        <v>300000</v>
      </c>
      <c r="Q67" s="59">
        <v>17820657.6</v>
      </c>
      <c r="R67" s="42">
        <v>0</v>
      </c>
      <c r="S67" s="43">
        <v>365</v>
      </c>
      <c r="T67" s="42">
        <v>0</v>
      </c>
      <c r="U67" s="42">
        <v>0</v>
      </c>
      <c r="V67" s="42">
        <v>0</v>
      </c>
      <c r="W67" s="44">
        <v>0</v>
      </c>
      <c r="X67" s="59">
        <v>17820657.6</v>
      </c>
      <c r="Y67" s="18">
        <v>300000</v>
      </c>
      <c r="Z67" s="42">
        <v>0</v>
      </c>
      <c r="AA67" s="29">
        <v>365</v>
      </c>
      <c r="AB67" s="44">
        <v>0</v>
      </c>
      <c r="AC67" s="46">
        <v>0</v>
      </c>
      <c r="AD67" s="42">
        <v>0</v>
      </c>
      <c r="AE67" s="53">
        <v>42188</v>
      </c>
      <c r="AF67" s="60"/>
      <c r="AG67" s="60"/>
      <c r="AH67" s="60"/>
      <c r="AI67" s="37"/>
      <c r="AJ67" s="37"/>
      <c r="AK67" s="47"/>
      <c r="AL67" s="47"/>
      <c r="AM67" s="47"/>
      <c r="AN67" s="47"/>
      <c r="AO67" s="47"/>
      <c r="AP67" s="47"/>
      <c r="AQ67" s="47"/>
      <c r="AR67" s="24"/>
      <c r="AS67" s="35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55" ht="13.5" customHeight="1">
      <c r="A68" s="38" t="s">
        <v>204</v>
      </c>
      <c r="B68" s="37">
        <v>42289</v>
      </c>
      <c r="C68" s="38" t="s">
        <v>6</v>
      </c>
      <c r="D68" s="36" t="s">
        <v>199</v>
      </c>
      <c r="E68" s="36">
        <v>42.934213888888884</v>
      </c>
      <c r="F68" s="36">
        <v>10.544702777777777</v>
      </c>
      <c r="G68" s="10" t="s">
        <v>199</v>
      </c>
      <c r="H68" s="10" t="s">
        <v>199</v>
      </c>
      <c r="I68" s="10" t="s">
        <v>178</v>
      </c>
      <c r="J68" s="38" t="s">
        <v>205</v>
      </c>
      <c r="K68" s="38"/>
      <c r="L68" s="39">
        <v>42550</v>
      </c>
      <c r="M68" s="28" t="s">
        <v>72</v>
      </c>
      <c r="N68" s="49" t="s">
        <v>93</v>
      </c>
      <c r="O68" s="41">
        <v>3904871.88</v>
      </c>
      <c r="P68" s="41">
        <v>46481.53</v>
      </c>
      <c r="Q68" s="41">
        <v>3904871.88</v>
      </c>
      <c r="R68" s="41">
        <v>0</v>
      </c>
      <c r="S68" s="55">
        <v>150</v>
      </c>
      <c r="T68" s="41">
        <v>0</v>
      </c>
      <c r="U68" s="41">
        <v>0</v>
      </c>
      <c r="V68" s="41">
        <v>0</v>
      </c>
      <c r="W68" s="56">
        <v>0</v>
      </c>
      <c r="X68" s="41">
        <v>3904871.88</v>
      </c>
      <c r="Y68" s="45">
        <v>46481.53</v>
      </c>
      <c r="Z68" s="41">
        <v>0</v>
      </c>
      <c r="AA68" s="55">
        <v>150</v>
      </c>
      <c r="AB68" s="56">
        <v>0</v>
      </c>
      <c r="AC68" s="55">
        <v>0</v>
      </c>
      <c r="AD68" s="41">
        <v>0</v>
      </c>
      <c r="AE68" s="53">
        <v>42050</v>
      </c>
      <c r="AF68" s="53">
        <v>42109</v>
      </c>
      <c r="AG68" s="53"/>
      <c r="AH68" s="53"/>
      <c r="AI68" s="53"/>
      <c r="AJ68" s="53"/>
      <c r="AK68" s="57"/>
      <c r="AL68" s="47">
        <f aca="true" t="shared" si="12" ref="AL68:AL90">_xlfn.IFERROR(Z68/O68*100,0)</f>
        <v>0</v>
      </c>
      <c r="AM68" s="47">
        <f aca="true" t="shared" si="13" ref="AM68:AM90">_xlfn.IFERROR(AC68/S68*100,0)</f>
        <v>0</v>
      </c>
      <c r="AN68" s="47">
        <f aca="true" t="shared" si="14" ref="AN68:AN90">_xlfn.IFERROR(V68/X68*100,0)</f>
        <v>0</v>
      </c>
      <c r="AO68" s="47">
        <f aca="true" t="shared" si="15" ref="AO68:AO90">_xlfn.IFERROR(W68/AA68*100,0)</f>
        <v>0</v>
      </c>
      <c r="AP68" s="47">
        <f aca="true" t="shared" si="16" ref="AP68:AP90">_xlfn.IFERROR(((W68+AB68)/AA68)*100,0)</f>
        <v>0</v>
      </c>
      <c r="AQ68" s="47">
        <f aca="true" t="shared" si="17" ref="AQ68:AQ90">_xlfn.IFERROR((AD68/O68)*100,0)</f>
        <v>0</v>
      </c>
      <c r="AR68" s="48">
        <f aca="true" t="shared" si="18" ref="AR68:AR90">_xlfn.IFERROR((Q68/O68)*100,0)</f>
        <v>100</v>
      </c>
      <c r="AS68" s="35" t="s">
        <v>74</v>
      </c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55" ht="13.5" customHeight="1">
      <c r="A69" s="38" t="s">
        <v>206</v>
      </c>
      <c r="B69" s="53">
        <v>40562</v>
      </c>
      <c r="C69" s="38" t="s">
        <v>6</v>
      </c>
      <c r="D69" s="36" t="s">
        <v>207</v>
      </c>
      <c r="E69" s="36">
        <v>40.67406666666666</v>
      </c>
      <c r="F69" s="36">
        <v>14.74646111111111</v>
      </c>
      <c r="G69" s="36" t="s">
        <v>207</v>
      </c>
      <c r="H69" s="36" t="s">
        <v>207</v>
      </c>
      <c r="I69" s="36" t="s">
        <v>207</v>
      </c>
      <c r="J69" s="38" t="s">
        <v>208</v>
      </c>
      <c r="K69" s="38" t="s">
        <v>53</v>
      </c>
      <c r="L69" s="54">
        <v>42460</v>
      </c>
      <c r="M69" s="28" t="s">
        <v>72</v>
      </c>
      <c r="N69" s="49" t="s">
        <v>93</v>
      </c>
      <c r="O69" s="41">
        <v>3466974.54</v>
      </c>
      <c r="P69" s="41">
        <v>52304.66</v>
      </c>
      <c r="Q69" s="41">
        <f>7060000</f>
        <v>7060000</v>
      </c>
      <c r="R69" s="41">
        <v>0</v>
      </c>
      <c r="S69" s="55">
        <v>240</v>
      </c>
      <c r="T69" s="41">
        <f>3306974.54-O69</f>
        <v>-160000</v>
      </c>
      <c r="U69" s="41">
        <f>49902.25-P69</f>
        <v>-2402.4100000000035</v>
      </c>
      <c r="V69" s="41">
        <f>U69+T69</f>
        <v>-162402.41</v>
      </c>
      <c r="W69" s="56">
        <v>0</v>
      </c>
      <c r="X69" s="41">
        <f>Y69+Z69</f>
        <v>867316.64</v>
      </c>
      <c r="Y69" s="45">
        <f>12893.24</f>
        <v>12893.24</v>
      </c>
      <c r="Z69" s="41">
        <v>854423.4</v>
      </c>
      <c r="AA69" s="55">
        <v>240</v>
      </c>
      <c r="AB69" s="56">
        <v>0</v>
      </c>
      <c r="AC69" s="55">
        <v>0</v>
      </c>
      <c r="AD69" s="41">
        <v>0</v>
      </c>
      <c r="AE69" s="53"/>
      <c r="AF69" s="53"/>
      <c r="AG69" s="53">
        <v>41219</v>
      </c>
      <c r="AH69" s="53">
        <f>AG69+S69+AB69+W69</f>
        <v>41459</v>
      </c>
      <c r="AI69" s="53">
        <f>AH69+1</f>
        <v>41460</v>
      </c>
      <c r="AJ69" s="53">
        <v>41460</v>
      </c>
      <c r="AK69" s="57"/>
      <c r="AL69" s="57">
        <f t="shared" si="12"/>
        <v>24.64464016513949</v>
      </c>
      <c r="AM69" s="57">
        <f t="shared" si="13"/>
        <v>0</v>
      </c>
      <c r="AN69" s="57">
        <f t="shared" si="14"/>
        <v>-18.724696669027356</v>
      </c>
      <c r="AO69" s="57">
        <f t="shared" si="15"/>
        <v>0</v>
      </c>
      <c r="AP69" s="57">
        <f t="shared" si="16"/>
        <v>0</v>
      </c>
      <c r="AQ69" s="57">
        <f t="shared" si="17"/>
        <v>0</v>
      </c>
      <c r="AR69" s="48">
        <f t="shared" si="18"/>
        <v>203.63576134020298</v>
      </c>
      <c r="AS69" s="35" t="s">
        <v>74</v>
      </c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55" ht="13.5" customHeight="1">
      <c r="A70" s="38" t="s">
        <v>209</v>
      </c>
      <c r="B70" s="53">
        <v>40736</v>
      </c>
      <c r="C70" s="38" t="s">
        <v>6</v>
      </c>
      <c r="D70" s="36" t="s">
        <v>207</v>
      </c>
      <c r="E70" s="36">
        <v>40.67406666666666</v>
      </c>
      <c r="F70" s="36">
        <v>14.74646111111111</v>
      </c>
      <c r="G70" s="36" t="s">
        <v>207</v>
      </c>
      <c r="H70" s="36" t="s">
        <v>207</v>
      </c>
      <c r="I70" s="36" t="s">
        <v>207</v>
      </c>
      <c r="J70" s="38" t="s">
        <v>210</v>
      </c>
      <c r="K70" s="38" t="s">
        <v>48</v>
      </c>
      <c r="L70" s="54">
        <v>42460</v>
      </c>
      <c r="M70" s="60" t="s">
        <v>72</v>
      </c>
      <c r="N70" s="49" t="s">
        <v>93</v>
      </c>
      <c r="O70" s="41">
        <f>94717790.95+2100000</f>
        <v>96817790.95</v>
      </c>
      <c r="P70" s="41">
        <v>1613859.46</v>
      </c>
      <c r="Q70" s="41">
        <v>139000000</v>
      </c>
      <c r="R70" s="41">
        <v>0</v>
      </c>
      <c r="S70" s="55">
        <v>699</v>
      </c>
      <c r="T70" s="41">
        <f>110803569.54-O70</f>
        <v>13985778.590000004</v>
      </c>
      <c r="U70" s="41">
        <f>5113859-P70</f>
        <v>3499999.54</v>
      </c>
      <c r="V70" s="41">
        <f>U70+T70</f>
        <v>17485778.130000003</v>
      </c>
      <c r="W70" s="56">
        <v>69</v>
      </c>
      <c r="X70" s="41">
        <f>O70+T70</f>
        <v>110803569.54</v>
      </c>
      <c r="Y70" s="45">
        <f>SUM(P70+U70)</f>
        <v>5113859</v>
      </c>
      <c r="Z70" s="41">
        <f>38474863.45</f>
        <v>38474863.45</v>
      </c>
      <c r="AA70" s="55">
        <f aca="true" t="shared" si="19" ref="AA70:AA89">S70+W70</f>
        <v>768</v>
      </c>
      <c r="AB70" s="56">
        <f>170+28+31</f>
        <v>229</v>
      </c>
      <c r="AC70" s="55">
        <f aca="true" t="shared" si="20" ref="AC70:AC86">IF(N70="Progettazione",0,(L70-AG70-AB70))</f>
        <v>687</v>
      </c>
      <c r="AD70" s="41">
        <v>6578595.51</v>
      </c>
      <c r="AE70" s="53"/>
      <c r="AF70" s="53"/>
      <c r="AG70" s="53">
        <v>41544</v>
      </c>
      <c r="AH70" s="53">
        <f>AG70+S70+AB70+W70</f>
        <v>42541</v>
      </c>
      <c r="AI70" s="53" t="s">
        <v>211</v>
      </c>
      <c r="AJ70" s="53" t="s">
        <v>211</v>
      </c>
      <c r="AK70" s="57"/>
      <c r="AL70" s="57">
        <f t="shared" si="12"/>
        <v>39.7394560157541</v>
      </c>
      <c r="AM70" s="57">
        <f t="shared" si="13"/>
        <v>98.28326180257511</v>
      </c>
      <c r="AN70" s="57">
        <f t="shared" si="14"/>
        <v>15.780879806121813</v>
      </c>
      <c r="AO70" s="57">
        <f t="shared" si="15"/>
        <v>8.984375</v>
      </c>
      <c r="AP70" s="57">
        <f t="shared" si="16"/>
        <v>38.80208333333333</v>
      </c>
      <c r="AQ70" s="57">
        <f t="shared" si="17"/>
        <v>6.7948209161241975</v>
      </c>
      <c r="AR70" s="48">
        <f t="shared" si="18"/>
        <v>143.5686547235769</v>
      </c>
      <c r="AS70" s="35" t="s">
        <v>74</v>
      </c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1:55" ht="13.5" customHeight="1">
      <c r="A71" s="38" t="s">
        <v>212</v>
      </c>
      <c r="B71" s="53">
        <v>41435</v>
      </c>
      <c r="C71" s="38" t="s">
        <v>6</v>
      </c>
      <c r="D71" s="36" t="s">
        <v>207</v>
      </c>
      <c r="E71" s="36"/>
      <c r="F71" s="36"/>
      <c r="G71" s="36" t="s">
        <v>207</v>
      </c>
      <c r="H71" s="36" t="s">
        <v>207</v>
      </c>
      <c r="I71" s="36" t="s">
        <v>207</v>
      </c>
      <c r="J71" s="38" t="s">
        <v>213</v>
      </c>
      <c r="K71" s="38"/>
      <c r="L71" s="54">
        <v>42460</v>
      </c>
      <c r="M71" s="13" t="s">
        <v>49</v>
      </c>
      <c r="N71" s="49" t="s">
        <v>214</v>
      </c>
      <c r="O71" s="41">
        <v>20849007.25</v>
      </c>
      <c r="P71" s="41">
        <v>690672.75</v>
      </c>
      <c r="Q71" s="41">
        <v>31900000</v>
      </c>
      <c r="R71" s="41">
        <v>0</v>
      </c>
      <c r="S71" s="55">
        <v>340</v>
      </c>
      <c r="T71" s="41">
        <v>222948.09</v>
      </c>
      <c r="U71" s="41">
        <v>0</v>
      </c>
      <c r="V71" s="41">
        <f>T71+U71</f>
        <v>222948.09</v>
      </c>
      <c r="W71" s="56">
        <v>0</v>
      </c>
      <c r="X71" s="41">
        <f>V71+O71</f>
        <v>21071955.34</v>
      </c>
      <c r="Y71" s="45">
        <v>690672.75</v>
      </c>
      <c r="Z71" s="41">
        <v>20400618.08</v>
      </c>
      <c r="AA71" s="55">
        <f t="shared" si="19"/>
        <v>340</v>
      </c>
      <c r="AB71" s="56">
        <v>0</v>
      </c>
      <c r="AC71" s="55">
        <f t="shared" si="20"/>
        <v>427</v>
      </c>
      <c r="AD71" s="41">
        <v>1234976.59</v>
      </c>
      <c r="AE71" s="53">
        <v>41934</v>
      </c>
      <c r="AF71" s="53">
        <v>41969</v>
      </c>
      <c r="AG71" s="53">
        <v>42033</v>
      </c>
      <c r="AH71" s="53">
        <v>42286</v>
      </c>
      <c r="AI71" s="53">
        <v>42287</v>
      </c>
      <c r="AJ71" s="53">
        <v>42287</v>
      </c>
      <c r="AK71" s="57"/>
      <c r="AL71" s="57">
        <f t="shared" si="12"/>
        <v>97.84935002121024</v>
      </c>
      <c r="AM71" s="57">
        <f t="shared" si="13"/>
        <v>125.58823529411765</v>
      </c>
      <c r="AN71" s="57">
        <f t="shared" si="14"/>
        <v>1.0580322822571053</v>
      </c>
      <c r="AO71" s="57">
        <f t="shared" si="15"/>
        <v>0</v>
      </c>
      <c r="AP71" s="57">
        <f t="shared" si="16"/>
        <v>0</v>
      </c>
      <c r="AQ71" s="57">
        <f t="shared" si="17"/>
        <v>5.923431150420844</v>
      </c>
      <c r="AR71" s="48">
        <f t="shared" si="18"/>
        <v>153.00488707921573</v>
      </c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55" ht="13.5" customHeight="1">
      <c r="A72" s="38" t="s">
        <v>215</v>
      </c>
      <c r="B72" s="53">
        <v>40450</v>
      </c>
      <c r="C72" s="38" t="s">
        <v>6</v>
      </c>
      <c r="D72" s="36" t="s">
        <v>207</v>
      </c>
      <c r="E72" s="36"/>
      <c r="F72" s="36"/>
      <c r="G72" s="36" t="s">
        <v>207</v>
      </c>
      <c r="H72" s="36" t="s">
        <v>207</v>
      </c>
      <c r="I72" s="36" t="s">
        <v>207</v>
      </c>
      <c r="J72" s="38" t="s">
        <v>216</v>
      </c>
      <c r="K72" s="38"/>
      <c r="L72" s="54">
        <v>42460</v>
      </c>
      <c r="M72" s="13" t="s">
        <v>49</v>
      </c>
      <c r="N72" s="49" t="s">
        <v>214</v>
      </c>
      <c r="O72" s="41">
        <v>16046724.24</v>
      </c>
      <c r="P72" s="41">
        <v>697882.81</v>
      </c>
      <c r="Q72" s="41">
        <v>27300000</v>
      </c>
      <c r="R72" s="41">
        <v>0</v>
      </c>
      <c r="S72" s="55">
        <v>360</v>
      </c>
      <c r="T72" s="41">
        <v>7983527.42</v>
      </c>
      <c r="U72" s="41">
        <v>85474.37999999989</v>
      </c>
      <c r="V72" s="41">
        <f>T72+U72</f>
        <v>8069001.8</v>
      </c>
      <c r="W72" s="56">
        <v>210</v>
      </c>
      <c r="X72" s="41">
        <f>V72+O72</f>
        <v>24115726.04</v>
      </c>
      <c r="Y72" s="45">
        <v>783357.19</v>
      </c>
      <c r="Z72" s="41">
        <v>24613645.9</v>
      </c>
      <c r="AA72" s="55">
        <f t="shared" si="19"/>
        <v>570</v>
      </c>
      <c r="AB72" s="56">
        <v>30</v>
      </c>
      <c r="AC72" s="55">
        <f t="shared" si="20"/>
        <v>1389</v>
      </c>
      <c r="AD72" s="41">
        <v>2083844.48</v>
      </c>
      <c r="AE72" s="53">
        <v>40506</v>
      </c>
      <c r="AF72" s="53">
        <v>40553</v>
      </c>
      <c r="AG72" s="53">
        <v>41041</v>
      </c>
      <c r="AH72" s="53">
        <v>41313</v>
      </c>
      <c r="AI72" s="53">
        <v>41640</v>
      </c>
      <c r="AJ72" s="53">
        <v>41640</v>
      </c>
      <c r="AK72" s="57"/>
      <c r="AL72" s="57">
        <f t="shared" si="12"/>
        <v>153.38735515031198</v>
      </c>
      <c r="AM72" s="57">
        <f t="shared" si="13"/>
        <v>385.8333333333333</v>
      </c>
      <c r="AN72" s="57">
        <f t="shared" si="14"/>
        <v>33.45950184794851</v>
      </c>
      <c r="AO72" s="57">
        <f t="shared" si="15"/>
        <v>36.84210526315789</v>
      </c>
      <c r="AP72" s="57">
        <f t="shared" si="16"/>
        <v>42.10526315789473</v>
      </c>
      <c r="AQ72" s="57">
        <f t="shared" si="17"/>
        <v>12.986105131697585</v>
      </c>
      <c r="AR72" s="48">
        <f t="shared" si="18"/>
        <v>170.12818062859662</v>
      </c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55" ht="13.5" customHeight="1">
      <c r="A73" s="38" t="s">
        <v>217</v>
      </c>
      <c r="B73" s="53">
        <v>40616</v>
      </c>
      <c r="C73" s="38" t="s">
        <v>6</v>
      </c>
      <c r="D73" s="36" t="s">
        <v>207</v>
      </c>
      <c r="E73" s="36"/>
      <c r="F73" s="36"/>
      <c r="G73" s="36" t="s">
        <v>207</v>
      </c>
      <c r="H73" s="36" t="s">
        <v>207</v>
      </c>
      <c r="I73" s="36" t="s">
        <v>207</v>
      </c>
      <c r="J73" s="38" t="s">
        <v>218</v>
      </c>
      <c r="K73" s="38"/>
      <c r="L73" s="54">
        <v>42460</v>
      </c>
      <c r="M73" s="13" t="s">
        <v>49</v>
      </c>
      <c r="N73" s="49" t="s">
        <v>214</v>
      </c>
      <c r="O73" s="41">
        <v>5040591.74</v>
      </c>
      <c r="P73" s="41">
        <v>85197.98</v>
      </c>
      <c r="Q73" s="41">
        <v>7418500</v>
      </c>
      <c r="R73" s="41">
        <v>0</v>
      </c>
      <c r="S73" s="55">
        <v>300</v>
      </c>
      <c r="T73" s="41">
        <v>1232053.8499999996</v>
      </c>
      <c r="U73" s="41">
        <v>20000</v>
      </c>
      <c r="V73" s="41">
        <f>T73+U73</f>
        <v>1252053.8499999996</v>
      </c>
      <c r="W73" s="56">
        <v>30</v>
      </c>
      <c r="X73" s="41">
        <f>V73+O73</f>
        <v>6292645.59</v>
      </c>
      <c r="Y73" s="45">
        <v>105197.98</v>
      </c>
      <c r="Z73" s="41">
        <v>6302649.27</v>
      </c>
      <c r="AA73" s="55">
        <f t="shared" si="19"/>
        <v>330</v>
      </c>
      <c r="AB73" s="56">
        <v>141</v>
      </c>
      <c r="AC73" s="55">
        <f t="shared" si="20"/>
        <v>1067</v>
      </c>
      <c r="AD73" s="41">
        <v>1635185.4</v>
      </c>
      <c r="AE73" s="53"/>
      <c r="AF73" s="53"/>
      <c r="AG73" s="53">
        <v>41252</v>
      </c>
      <c r="AH73" s="53">
        <v>42203</v>
      </c>
      <c r="AI73" s="53">
        <v>42204</v>
      </c>
      <c r="AJ73" s="53">
        <v>42204</v>
      </c>
      <c r="AK73" s="57"/>
      <c r="AL73" s="57">
        <f t="shared" si="12"/>
        <v>125.03788434173006</v>
      </c>
      <c r="AM73" s="57">
        <f t="shared" si="13"/>
        <v>355.6666666666667</v>
      </c>
      <c r="AN73" s="57">
        <f t="shared" si="14"/>
        <v>19.897097843706778</v>
      </c>
      <c r="AO73" s="57">
        <f t="shared" si="15"/>
        <v>9.090909090909092</v>
      </c>
      <c r="AP73" s="57">
        <f t="shared" si="16"/>
        <v>51.81818181818182</v>
      </c>
      <c r="AQ73" s="57">
        <f t="shared" si="17"/>
        <v>32.4403459820771</v>
      </c>
      <c r="AR73" s="48">
        <f t="shared" si="18"/>
        <v>147.1751806663874</v>
      </c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pans="1:55" ht="13.5" customHeight="1">
      <c r="A74" s="38" t="s">
        <v>219</v>
      </c>
      <c r="B74" s="53">
        <v>40588</v>
      </c>
      <c r="C74" s="38" t="s">
        <v>6</v>
      </c>
      <c r="D74" s="36" t="s">
        <v>207</v>
      </c>
      <c r="E74" s="36"/>
      <c r="F74" s="36"/>
      <c r="G74" s="36" t="s">
        <v>207</v>
      </c>
      <c r="H74" s="36" t="s">
        <v>207</v>
      </c>
      <c r="I74" s="36" t="s">
        <v>207</v>
      </c>
      <c r="J74" s="38" t="s">
        <v>220</v>
      </c>
      <c r="K74" s="38"/>
      <c r="L74" s="54">
        <v>42460</v>
      </c>
      <c r="M74" s="13" t="s">
        <v>49</v>
      </c>
      <c r="N74" s="49" t="s">
        <v>214</v>
      </c>
      <c r="O74" s="41">
        <v>9403508.27</v>
      </c>
      <c r="P74" s="41">
        <v>361935.74</v>
      </c>
      <c r="Q74" s="41">
        <v>14302536.47</v>
      </c>
      <c r="R74" s="41">
        <v>0</v>
      </c>
      <c r="S74" s="55">
        <v>270</v>
      </c>
      <c r="T74" s="41">
        <v>1111549.7800000012</v>
      </c>
      <c r="U74" s="41">
        <v>-13.029999999969732</v>
      </c>
      <c r="V74" s="41">
        <v>1111536.7500000012</v>
      </c>
      <c r="W74" s="56">
        <v>167</v>
      </c>
      <c r="X74" s="41">
        <f>V74+O74</f>
        <v>10515045.020000001</v>
      </c>
      <c r="Y74" s="45">
        <v>361922.71</v>
      </c>
      <c r="Z74" s="41">
        <v>10702138.33</v>
      </c>
      <c r="AA74" s="55">
        <f t="shared" si="19"/>
        <v>437</v>
      </c>
      <c r="AB74" s="56">
        <v>389</v>
      </c>
      <c r="AC74" s="55">
        <f t="shared" si="20"/>
        <v>718</v>
      </c>
      <c r="AD74" s="41">
        <v>563223</v>
      </c>
      <c r="AE74" s="53">
        <v>41150</v>
      </c>
      <c r="AF74" s="53">
        <v>41198</v>
      </c>
      <c r="AG74" s="53">
        <v>41353</v>
      </c>
      <c r="AH74" s="53">
        <v>41960</v>
      </c>
      <c r="AI74" s="53">
        <v>41961</v>
      </c>
      <c r="AJ74" s="53">
        <v>41961</v>
      </c>
      <c r="AK74" s="57"/>
      <c r="AL74" s="57">
        <f t="shared" si="12"/>
        <v>113.81005921101828</v>
      </c>
      <c r="AM74" s="57">
        <f t="shared" si="13"/>
        <v>265.9259259259259</v>
      </c>
      <c r="AN74" s="57">
        <f t="shared" si="14"/>
        <v>10.57091765071683</v>
      </c>
      <c r="AO74" s="57">
        <f t="shared" si="15"/>
        <v>38.215102974828376</v>
      </c>
      <c r="AP74" s="57">
        <f t="shared" si="16"/>
        <v>127.23112128146452</v>
      </c>
      <c r="AQ74" s="57">
        <f t="shared" si="17"/>
        <v>5.989498640596187</v>
      </c>
      <c r="AR74" s="48">
        <f t="shared" si="18"/>
        <v>152.09787729574677</v>
      </c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</row>
    <row r="75" spans="1:55" ht="13.5" customHeight="1">
      <c r="A75" s="38" t="s">
        <v>221</v>
      </c>
      <c r="B75" s="53">
        <v>40855</v>
      </c>
      <c r="C75" s="38" t="s">
        <v>6</v>
      </c>
      <c r="D75" s="36" t="s">
        <v>207</v>
      </c>
      <c r="E75" s="36"/>
      <c r="F75" s="36"/>
      <c r="G75" s="36" t="s">
        <v>207</v>
      </c>
      <c r="H75" s="36" t="s">
        <v>207</v>
      </c>
      <c r="I75" s="36" t="s">
        <v>207</v>
      </c>
      <c r="J75" s="38" t="s">
        <v>222</v>
      </c>
      <c r="K75" s="38"/>
      <c r="L75" s="54">
        <v>42460</v>
      </c>
      <c r="M75" s="28" t="s">
        <v>56</v>
      </c>
      <c r="N75" s="49" t="s">
        <v>103</v>
      </c>
      <c r="O75" s="41">
        <v>0</v>
      </c>
      <c r="P75" s="41">
        <v>0</v>
      </c>
      <c r="Q75" s="41">
        <v>1755000</v>
      </c>
      <c r="R75" s="41">
        <v>0</v>
      </c>
      <c r="S75" s="55">
        <v>0</v>
      </c>
      <c r="T75" s="41">
        <v>0</v>
      </c>
      <c r="U75" s="41">
        <v>0</v>
      </c>
      <c r="V75" s="41">
        <f>U75+T75</f>
        <v>0</v>
      </c>
      <c r="W75" s="56">
        <v>0</v>
      </c>
      <c r="X75" s="41">
        <f>O75+T75</f>
        <v>0</v>
      </c>
      <c r="Y75" s="45">
        <f>SUM(P75+U75)</f>
        <v>0</v>
      </c>
      <c r="Z75" s="41">
        <v>0</v>
      </c>
      <c r="AA75" s="55">
        <f t="shared" si="19"/>
        <v>0</v>
      </c>
      <c r="AB75" s="56">
        <v>0</v>
      </c>
      <c r="AC75" s="55">
        <f t="shared" si="20"/>
        <v>0</v>
      </c>
      <c r="AD75" s="41">
        <v>0</v>
      </c>
      <c r="AE75" s="53">
        <v>40854</v>
      </c>
      <c r="AF75" s="60"/>
      <c r="AG75" s="60"/>
      <c r="AH75" s="60"/>
      <c r="AI75" s="53"/>
      <c r="AJ75" s="53"/>
      <c r="AK75" s="57"/>
      <c r="AL75" s="57">
        <f t="shared" si="12"/>
        <v>0</v>
      </c>
      <c r="AM75" s="57">
        <f t="shared" si="13"/>
        <v>0</v>
      </c>
      <c r="AN75" s="57">
        <f t="shared" si="14"/>
        <v>0</v>
      </c>
      <c r="AO75" s="57">
        <f t="shared" si="15"/>
        <v>0</v>
      </c>
      <c r="AP75" s="57">
        <f t="shared" si="16"/>
        <v>0</v>
      </c>
      <c r="AQ75" s="57">
        <f t="shared" si="17"/>
        <v>0</v>
      </c>
      <c r="AR75" s="48">
        <f t="shared" si="18"/>
        <v>0</v>
      </c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</row>
    <row r="76" spans="1:55" ht="13.5" customHeight="1">
      <c r="A76" s="38" t="s">
        <v>223</v>
      </c>
      <c r="B76" s="53">
        <v>41913</v>
      </c>
      <c r="C76" s="38" t="s">
        <v>6</v>
      </c>
      <c r="D76" s="36" t="s">
        <v>207</v>
      </c>
      <c r="E76" s="36"/>
      <c r="F76" s="36"/>
      <c r="G76" s="36" t="s">
        <v>207</v>
      </c>
      <c r="H76" s="36" t="s">
        <v>207</v>
      </c>
      <c r="I76" s="36" t="s">
        <v>207</v>
      </c>
      <c r="J76" s="38" t="s">
        <v>224</v>
      </c>
      <c r="K76" s="38"/>
      <c r="L76" s="54">
        <v>42460</v>
      </c>
      <c r="M76" s="28" t="s">
        <v>56</v>
      </c>
      <c r="N76" s="49" t="s">
        <v>103</v>
      </c>
      <c r="O76" s="41">
        <v>0</v>
      </c>
      <c r="P76" s="41">
        <v>0</v>
      </c>
      <c r="Q76" s="41">
        <v>1500000</v>
      </c>
      <c r="R76" s="41">
        <v>0</v>
      </c>
      <c r="S76" s="55">
        <v>0</v>
      </c>
      <c r="T76" s="41">
        <v>0</v>
      </c>
      <c r="U76" s="41">
        <v>0</v>
      </c>
      <c r="V76" s="41">
        <f>U76+T76</f>
        <v>0</v>
      </c>
      <c r="W76" s="56">
        <v>0</v>
      </c>
      <c r="X76" s="41">
        <f>O76+T76</f>
        <v>0</v>
      </c>
      <c r="Y76" s="45">
        <f>SUM(P76+U76)</f>
        <v>0</v>
      </c>
      <c r="Z76" s="41">
        <v>0</v>
      </c>
      <c r="AA76" s="55">
        <f t="shared" si="19"/>
        <v>0</v>
      </c>
      <c r="AB76" s="56">
        <v>0</v>
      </c>
      <c r="AC76" s="55">
        <f t="shared" si="20"/>
        <v>0</v>
      </c>
      <c r="AD76" s="41">
        <v>0</v>
      </c>
      <c r="AE76" s="53">
        <v>41992</v>
      </c>
      <c r="AF76" s="53"/>
      <c r="AG76" s="53"/>
      <c r="AH76" s="53"/>
      <c r="AI76" s="53"/>
      <c r="AJ76" s="53"/>
      <c r="AK76" s="57"/>
      <c r="AL76" s="57">
        <f t="shared" si="12"/>
        <v>0</v>
      </c>
      <c r="AM76" s="57">
        <f t="shared" si="13"/>
        <v>0</v>
      </c>
      <c r="AN76" s="57">
        <f t="shared" si="14"/>
        <v>0</v>
      </c>
      <c r="AO76" s="57">
        <f t="shared" si="15"/>
        <v>0</v>
      </c>
      <c r="AP76" s="57">
        <f t="shared" si="16"/>
        <v>0</v>
      </c>
      <c r="AQ76" s="57">
        <f t="shared" si="17"/>
        <v>0</v>
      </c>
      <c r="AR76" s="48">
        <f t="shared" si="18"/>
        <v>0</v>
      </c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</row>
    <row r="77" spans="1:55" ht="13.5" customHeight="1">
      <c r="A77" s="38" t="s">
        <v>225</v>
      </c>
      <c r="B77" s="53">
        <v>42079</v>
      </c>
      <c r="C77" s="38" t="s">
        <v>6</v>
      </c>
      <c r="D77" s="36" t="s">
        <v>207</v>
      </c>
      <c r="E77" s="36"/>
      <c r="F77" s="36"/>
      <c r="G77" s="36" t="s">
        <v>207</v>
      </c>
      <c r="H77" s="36" t="s">
        <v>207</v>
      </c>
      <c r="I77" s="36" t="s">
        <v>207</v>
      </c>
      <c r="J77" s="38" t="s">
        <v>226</v>
      </c>
      <c r="K77" s="38"/>
      <c r="L77" s="54">
        <v>42460</v>
      </c>
      <c r="M77" s="13" t="s">
        <v>49</v>
      </c>
      <c r="N77" s="49" t="s">
        <v>214</v>
      </c>
      <c r="O77" s="41">
        <f>261534.84+70615.67</f>
        <v>332150.51</v>
      </c>
      <c r="P77" s="41">
        <v>16050.5</v>
      </c>
      <c r="Q77" s="41">
        <v>564694.05</v>
      </c>
      <c r="R77" s="41">
        <v>0</v>
      </c>
      <c r="S77" s="55">
        <v>45</v>
      </c>
      <c r="T77" s="41">
        <v>0</v>
      </c>
      <c r="U77" s="41">
        <v>0</v>
      </c>
      <c r="V77" s="41">
        <f>U77+T77</f>
        <v>0</v>
      </c>
      <c r="W77" s="56">
        <v>0</v>
      </c>
      <c r="X77" s="41">
        <f>O77+T77</f>
        <v>332150.51</v>
      </c>
      <c r="Y77" s="45">
        <f>SUM(P77+U77)</f>
        <v>16050.5</v>
      </c>
      <c r="Z77" s="41">
        <v>273775</v>
      </c>
      <c r="AA77" s="55">
        <f t="shared" si="19"/>
        <v>45</v>
      </c>
      <c r="AB77" s="56">
        <v>50</v>
      </c>
      <c r="AC77" s="55">
        <f t="shared" si="20"/>
        <v>156</v>
      </c>
      <c r="AD77" s="41">
        <v>25000</v>
      </c>
      <c r="AE77" s="53">
        <v>42082</v>
      </c>
      <c r="AF77" s="53">
        <v>42083</v>
      </c>
      <c r="AG77" s="53">
        <v>42254</v>
      </c>
      <c r="AH77" s="53">
        <v>42338</v>
      </c>
      <c r="AI77" s="53">
        <f>AH77+1</f>
        <v>42339</v>
      </c>
      <c r="AJ77" s="53">
        <f>AI77</f>
        <v>42339</v>
      </c>
      <c r="AK77" s="57"/>
      <c r="AL77" s="57">
        <f t="shared" si="12"/>
        <v>82.42498257792829</v>
      </c>
      <c r="AM77" s="57">
        <f t="shared" si="13"/>
        <v>346.6666666666667</v>
      </c>
      <c r="AN77" s="57">
        <f t="shared" si="14"/>
        <v>0</v>
      </c>
      <c r="AO77" s="57">
        <f t="shared" si="15"/>
        <v>0</v>
      </c>
      <c r="AP77" s="57">
        <f t="shared" si="16"/>
        <v>111.11111111111111</v>
      </c>
      <c r="AQ77" s="57">
        <f t="shared" si="17"/>
        <v>7.52670829859632</v>
      </c>
      <c r="AR77" s="48">
        <f t="shared" si="18"/>
        <v>170.01149569211861</v>
      </c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55" ht="13.5" customHeight="1">
      <c r="A78" s="38" t="s">
        <v>227</v>
      </c>
      <c r="B78" s="53">
        <v>41739</v>
      </c>
      <c r="C78" s="38" t="s">
        <v>6</v>
      </c>
      <c r="D78" s="36" t="s">
        <v>207</v>
      </c>
      <c r="E78" s="36"/>
      <c r="F78" s="36"/>
      <c r="G78" s="36" t="s">
        <v>207</v>
      </c>
      <c r="H78" s="36" t="s">
        <v>207</v>
      </c>
      <c r="I78" s="36" t="s">
        <v>207</v>
      </c>
      <c r="J78" s="38" t="s">
        <v>228</v>
      </c>
      <c r="K78" s="38"/>
      <c r="L78" s="54">
        <v>42460</v>
      </c>
      <c r="M78" s="13" t="s">
        <v>49</v>
      </c>
      <c r="N78" s="38" t="s">
        <v>214</v>
      </c>
      <c r="O78" s="41">
        <v>6303572.69</v>
      </c>
      <c r="P78" s="41">
        <v>179327.25</v>
      </c>
      <c r="Q78" s="41">
        <v>8000000</v>
      </c>
      <c r="R78" s="41">
        <v>0</v>
      </c>
      <c r="S78" s="55">
        <v>340</v>
      </c>
      <c r="T78" s="41">
        <v>73756.33</v>
      </c>
      <c r="U78" s="41">
        <v>0</v>
      </c>
      <c r="V78" s="41">
        <f>T78+U78</f>
        <v>73756.33</v>
      </c>
      <c r="W78" s="56">
        <v>0</v>
      </c>
      <c r="X78" s="41">
        <f>O78+V78</f>
        <v>6377329.0200000005</v>
      </c>
      <c r="Y78" s="45">
        <v>179327.25</v>
      </c>
      <c r="Z78" s="45">
        <v>6168029.12</v>
      </c>
      <c r="AA78" s="55">
        <f t="shared" si="19"/>
        <v>340</v>
      </c>
      <c r="AB78" s="56">
        <v>0</v>
      </c>
      <c r="AC78" s="55">
        <f t="shared" si="20"/>
        <v>427</v>
      </c>
      <c r="AD78" s="41">
        <v>373387.79</v>
      </c>
      <c r="AE78" s="53">
        <v>41934</v>
      </c>
      <c r="AF78" s="53">
        <v>41941</v>
      </c>
      <c r="AG78" s="53">
        <v>42033</v>
      </c>
      <c r="AH78" s="53">
        <v>42358</v>
      </c>
      <c r="AI78" s="53">
        <v>42359</v>
      </c>
      <c r="AJ78" s="53">
        <v>42359</v>
      </c>
      <c r="AK78" s="57"/>
      <c r="AL78" s="57">
        <f t="shared" si="12"/>
        <v>97.84973416400786</v>
      </c>
      <c r="AM78" s="57">
        <f t="shared" si="13"/>
        <v>125.58823529411765</v>
      </c>
      <c r="AN78" s="57">
        <f t="shared" si="14"/>
        <v>1.1565395131518557</v>
      </c>
      <c r="AO78" s="57">
        <f t="shared" si="15"/>
        <v>0</v>
      </c>
      <c r="AP78" s="57">
        <f t="shared" si="16"/>
        <v>0</v>
      </c>
      <c r="AQ78" s="57">
        <f t="shared" si="17"/>
        <v>5.923431177248785</v>
      </c>
      <c r="AR78" s="48">
        <f t="shared" si="18"/>
        <v>126.91215590630398</v>
      </c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</row>
    <row r="79" spans="1:55" ht="13.5" customHeight="1">
      <c r="A79" s="38" t="s">
        <v>229</v>
      </c>
      <c r="B79" s="53">
        <v>40574</v>
      </c>
      <c r="C79" s="38" t="s">
        <v>6</v>
      </c>
      <c r="D79" s="36" t="s">
        <v>207</v>
      </c>
      <c r="E79" s="36"/>
      <c r="F79" s="36"/>
      <c r="G79" s="36" t="s">
        <v>207</v>
      </c>
      <c r="H79" s="36" t="s">
        <v>207</v>
      </c>
      <c r="I79" s="36" t="s">
        <v>207</v>
      </c>
      <c r="J79" s="38" t="s">
        <v>230</v>
      </c>
      <c r="K79" s="38"/>
      <c r="L79" s="54">
        <v>42460</v>
      </c>
      <c r="M79" s="13" t="s">
        <v>49</v>
      </c>
      <c r="N79" s="38" t="s">
        <v>214</v>
      </c>
      <c r="O79" s="41">
        <v>430193.86</v>
      </c>
      <c r="P79" s="41">
        <v>10014.68</v>
      </c>
      <c r="Q79" s="41">
        <v>726705.72</v>
      </c>
      <c r="R79" s="41">
        <v>0</v>
      </c>
      <c r="S79" s="55">
        <v>200</v>
      </c>
      <c r="T79" s="41">
        <f>16977.69+10000</f>
        <v>26977.69</v>
      </c>
      <c r="U79" s="41">
        <v>0</v>
      </c>
      <c r="V79" s="41">
        <f aca="true" t="shared" si="21" ref="V79:V86">U79+T79</f>
        <v>26977.69</v>
      </c>
      <c r="W79" s="56">
        <v>45</v>
      </c>
      <c r="X79" s="41">
        <f aca="true" t="shared" si="22" ref="X79:X89">O79+T79</f>
        <v>457171.55</v>
      </c>
      <c r="Y79" s="45">
        <f aca="true" t="shared" si="23" ref="Y79:Y89">SUM(P79+U79)</f>
        <v>10014.68</v>
      </c>
      <c r="Z79" s="45">
        <v>467186.23</v>
      </c>
      <c r="AA79" s="55">
        <f t="shared" si="19"/>
        <v>245</v>
      </c>
      <c r="AB79" s="56">
        <v>39</v>
      </c>
      <c r="AC79" s="55">
        <f t="shared" si="20"/>
        <v>1627</v>
      </c>
      <c r="AD79" s="41">
        <v>0</v>
      </c>
      <c r="AE79" s="53">
        <v>40218</v>
      </c>
      <c r="AF79" s="53">
        <v>40480</v>
      </c>
      <c r="AG79" s="53">
        <v>40794</v>
      </c>
      <c r="AH79" s="53">
        <v>41076</v>
      </c>
      <c r="AI79" s="53">
        <f>AH79+1</f>
        <v>41077</v>
      </c>
      <c r="AJ79" s="53">
        <f>AI79</f>
        <v>41077</v>
      </c>
      <c r="AK79" s="57"/>
      <c r="AL79" s="57">
        <f t="shared" si="12"/>
        <v>108.5989999950255</v>
      </c>
      <c r="AM79" s="57">
        <f t="shared" si="13"/>
        <v>813.5</v>
      </c>
      <c r="AN79" s="57">
        <f t="shared" si="14"/>
        <v>5.900999307590334</v>
      </c>
      <c r="AO79" s="57">
        <f t="shared" si="15"/>
        <v>18.367346938775512</v>
      </c>
      <c r="AP79" s="57">
        <f t="shared" si="16"/>
        <v>34.285714285714285</v>
      </c>
      <c r="AQ79" s="57">
        <f t="shared" si="17"/>
        <v>0</v>
      </c>
      <c r="AR79" s="48">
        <f t="shared" si="18"/>
        <v>168.9251724792167</v>
      </c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55" ht="13.5" customHeight="1">
      <c r="A80" s="38" t="s">
        <v>231</v>
      </c>
      <c r="B80" s="53">
        <v>40921</v>
      </c>
      <c r="C80" s="38" t="s">
        <v>6</v>
      </c>
      <c r="D80" s="36" t="s">
        <v>207</v>
      </c>
      <c r="E80" s="36"/>
      <c r="F80" s="36"/>
      <c r="G80" s="36" t="s">
        <v>207</v>
      </c>
      <c r="H80" s="36" t="s">
        <v>207</v>
      </c>
      <c r="I80" s="36" t="s">
        <v>207</v>
      </c>
      <c r="J80" s="38" t="s">
        <v>232</v>
      </c>
      <c r="K80" s="38"/>
      <c r="L80" s="54">
        <v>42460</v>
      </c>
      <c r="M80" s="28" t="s">
        <v>56</v>
      </c>
      <c r="N80" s="38" t="s">
        <v>103</v>
      </c>
      <c r="O80" s="41">
        <v>0</v>
      </c>
      <c r="P80" s="41">
        <v>0</v>
      </c>
      <c r="Q80" s="41">
        <v>1539000</v>
      </c>
      <c r="R80" s="41">
        <v>0</v>
      </c>
      <c r="S80" s="55">
        <v>0</v>
      </c>
      <c r="T80" s="41">
        <v>0</v>
      </c>
      <c r="U80" s="41">
        <v>0</v>
      </c>
      <c r="V80" s="41">
        <f t="shared" si="21"/>
        <v>0</v>
      </c>
      <c r="W80" s="56">
        <v>0</v>
      </c>
      <c r="X80" s="41">
        <f t="shared" si="22"/>
        <v>0</v>
      </c>
      <c r="Y80" s="45">
        <f t="shared" si="23"/>
        <v>0</v>
      </c>
      <c r="Z80" s="41">
        <v>0</v>
      </c>
      <c r="AA80" s="55">
        <f t="shared" si="19"/>
        <v>0</v>
      </c>
      <c r="AB80" s="56">
        <v>0</v>
      </c>
      <c r="AC80" s="55">
        <f t="shared" si="20"/>
        <v>0</v>
      </c>
      <c r="AD80" s="41">
        <v>0</v>
      </c>
      <c r="AE80" s="53">
        <v>40928</v>
      </c>
      <c r="AF80" s="53"/>
      <c r="AG80" s="53"/>
      <c r="AH80" s="53"/>
      <c r="AI80" s="53"/>
      <c r="AJ80" s="53"/>
      <c r="AK80" s="57"/>
      <c r="AL80" s="57">
        <f t="shared" si="12"/>
        <v>0</v>
      </c>
      <c r="AM80" s="57">
        <f t="shared" si="13"/>
        <v>0</v>
      </c>
      <c r="AN80" s="57">
        <f t="shared" si="14"/>
        <v>0</v>
      </c>
      <c r="AO80" s="57">
        <f t="shared" si="15"/>
        <v>0</v>
      </c>
      <c r="AP80" s="57">
        <f t="shared" si="16"/>
        <v>0</v>
      </c>
      <c r="AQ80" s="57">
        <f t="shared" si="17"/>
        <v>0</v>
      </c>
      <c r="AR80" s="48">
        <f t="shared" si="18"/>
        <v>0</v>
      </c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</row>
    <row r="81" spans="1:55" ht="13.5" customHeight="1">
      <c r="A81" s="38" t="s">
        <v>233</v>
      </c>
      <c r="B81" s="53">
        <v>42311</v>
      </c>
      <c r="C81" s="38" t="s">
        <v>6</v>
      </c>
      <c r="D81" s="36" t="s">
        <v>207</v>
      </c>
      <c r="E81" s="36"/>
      <c r="F81" s="36"/>
      <c r="G81" s="36" t="s">
        <v>207</v>
      </c>
      <c r="H81" s="36" t="s">
        <v>207</v>
      </c>
      <c r="I81" s="36" t="s">
        <v>207</v>
      </c>
      <c r="J81" s="38" t="s">
        <v>234</v>
      </c>
      <c r="K81" s="38"/>
      <c r="L81" s="54">
        <v>42460</v>
      </c>
      <c r="M81" s="28" t="s">
        <v>56</v>
      </c>
      <c r="N81" s="38" t="s">
        <v>103</v>
      </c>
      <c r="O81" s="41">
        <v>0</v>
      </c>
      <c r="P81" s="41">
        <v>0</v>
      </c>
      <c r="Q81" s="41">
        <v>6020800</v>
      </c>
      <c r="R81" s="41">
        <v>0</v>
      </c>
      <c r="S81" s="55">
        <v>0</v>
      </c>
      <c r="T81" s="41">
        <v>0</v>
      </c>
      <c r="U81" s="41">
        <v>0</v>
      </c>
      <c r="V81" s="41">
        <f t="shared" si="21"/>
        <v>0</v>
      </c>
      <c r="W81" s="56">
        <v>0</v>
      </c>
      <c r="X81" s="41">
        <f t="shared" si="22"/>
        <v>0</v>
      </c>
      <c r="Y81" s="45">
        <f t="shared" si="23"/>
        <v>0</v>
      </c>
      <c r="Z81" s="41">
        <v>0</v>
      </c>
      <c r="AA81" s="55">
        <f t="shared" si="19"/>
        <v>0</v>
      </c>
      <c r="AB81" s="56">
        <v>0</v>
      </c>
      <c r="AC81" s="55">
        <f t="shared" si="20"/>
        <v>0</v>
      </c>
      <c r="AD81" s="41">
        <v>0</v>
      </c>
      <c r="AE81" s="53">
        <v>41402</v>
      </c>
      <c r="AF81" s="53"/>
      <c r="AG81" s="53"/>
      <c r="AH81" s="53"/>
      <c r="AI81" s="53"/>
      <c r="AJ81" s="53"/>
      <c r="AK81" s="57"/>
      <c r="AL81" s="57">
        <f t="shared" si="12"/>
        <v>0</v>
      </c>
      <c r="AM81" s="57">
        <f t="shared" si="13"/>
        <v>0</v>
      </c>
      <c r="AN81" s="57">
        <f t="shared" si="14"/>
        <v>0</v>
      </c>
      <c r="AO81" s="57">
        <f t="shared" si="15"/>
        <v>0</v>
      </c>
      <c r="AP81" s="57">
        <f t="shared" si="16"/>
        <v>0</v>
      </c>
      <c r="AQ81" s="57">
        <f t="shared" si="17"/>
        <v>0</v>
      </c>
      <c r="AR81" s="48">
        <f t="shared" si="18"/>
        <v>0</v>
      </c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</row>
    <row r="82" spans="1:55" ht="13.5" customHeight="1">
      <c r="A82" s="38" t="s">
        <v>235</v>
      </c>
      <c r="B82" s="53">
        <v>40542</v>
      </c>
      <c r="C82" s="38" t="s">
        <v>6</v>
      </c>
      <c r="D82" s="36" t="s">
        <v>207</v>
      </c>
      <c r="E82" s="36">
        <v>40.67406666666666</v>
      </c>
      <c r="F82" s="36">
        <v>14.74646111111111</v>
      </c>
      <c r="G82" s="36" t="s">
        <v>207</v>
      </c>
      <c r="H82" s="36" t="s">
        <v>207</v>
      </c>
      <c r="I82" s="36" t="s">
        <v>207</v>
      </c>
      <c r="J82" s="38" t="s">
        <v>236</v>
      </c>
      <c r="K82" s="38"/>
      <c r="L82" s="54">
        <v>42460</v>
      </c>
      <c r="M82" s="60" t="s">
        <v>72</v>
      </c>
      <c r="N82" s="38" t="s">
        <v>93</v>
      </c>
      <c r="O82" s="41">
        <v>4689916.43</v>
      </c>
      <c r="P82" s="41">
        <v>190823.15</v>
      </c>
      <c r="Q82" s="41">
        <v>5683653.47</v>
      </c>
      <c r="R82" s="41">
        <v>0</v>
      </c>
      <c r="S82" s="55">
        <f>360+95</f>
        <v>455</v>
      </c>
      <c r="T82" s="41">
        <f>4916534.88-O82</f>
        <v>226618.4500000002</v>
      </c>
      <c r="U82" s="41">
        <f>201972.78-P82</f>
        <v>11149.630000000005</v>
      </c>
      <c r="V82" s="41">
        <f t="shared" si="21"/>
        <v>237768.0800000002</v>
      </c>
      <c r="W82" s="56">
        <v>25</v>
      </c>
      <c r="X82" s="41">
        <f t="shared" si="22"/>
        <v>4916534.88</v>
      </c>
      <c r="Y82" s="45">
        <f t="shared" si="23"/>
        <v>201972.78</v>
      </c>
      <c r="Z82" s="41">
        <v>2605110.71</v>
      </c>
      <c r="AA82" s="55">
        <f t="shared" si="19"/>
        <v>480</v>
      </c>
      <c r="AB82" s="56">
        <v>494</v>
      </c>
      <c r="AC82" s="55">
        <f t="shared" si="20"/>
        <v>144</v>
      </c>
      <c r="AD82" s="41">
        <v>0</v>
      </c>
      <c r="AE82" s="53"/>
      <c r="AF82" s="53"/>
      <c r="AG82" s="53">
        <v>41822</v>
      </c>
      <c r="AH82" s="53">
        <v>42643</v>
      </c>
      <c r="AI82" s="53">
        <f>AH82+1</f>
        <v>42644</v>
      </c>
      <c r="AJ82" s="53">
        <f>AI82</f>
        <v>42644</v>
      </c>
      <c r="AK82" s="57"/>
      <c r="AL82" s="57">
        <f t="shared" si="12"/>
        <v>55.54706035561491</v>
      </c>
      <c r="AM82" s="57">
        <f t="shared" si="13"/>
        <v>31.648351648351646</v>
      </c>
      <c r="AN82" s="57">
        <f t="shared" si="14"/>
        <v>4.836090576052218</v>
      </c>
      <c r="AO82" s="57">
        <f t="shared" si="15"/>
        <v>5.208333333333334</v>
      </c>
      <c r="AP82" s="57">
        <f t="shared" si="16"/>
        <v>108.125</v>
      </c>
      <c r="AQ82" s="57">
        <f t="shared" si="17"/>
        <v>0</v>
      </c>
      <c r="AR82" s="48">
        <f t="shared" si="18"/>
        <v>121.18880058594137</v>
      </c>
      <c r="AS82" s="35" t="s">
        <v>74</v>
      </c>
      <c r="AT82" s="26"/>
      <c r="AU82" s="26"/>
      <c r="AV82" s="26"/>
      <c r="AW82" s="26"/>
      <c r="AX82" s="26"/>
      <c r="AY82" s="26"/>
      <c r="AZ82" s="26"/>
      <c r="BA82" s="26"/>
      <c r="BB82" s="26"/>
      <c r="BC82" s="26"/>
    </row>
    <row r="83" spans="1:55" ht="13.5" customHeight="1">
      <c r="A83" s="38" t="s">
        <v>237</v>
      </c>
      <c r="B83" s="53">
        <v>40511</v>
      </c>
      <c r="C83" s="38" t="s">
        <v>6</v>
      </c>
      <c r="D83" s="36" t="s">
        <v>207</v>
      </c>
      <c r="E83" s="36"/>
      <c r="F83" s="36"/>
      <c r="G83" s="36" t="s">
        <v>207</v>
      </c>
      <c r="H83" s="36" t="s">
        <v>207</v>
      </c>
      <c r="I83" s="36" t="s">
        <v>207</v>
      </c>
      <c r="J83" s="38" t="s">
        <v>238</v>
      </c>
      <c r="K83" s="38"/>
      <c r="L83" s="54">
        <v>42460</v>
      </c>
      <c r="M83" s="13" t="s">
        <v>49</v>
      </c>
      <c r="N83" s="38" t="s">
        <v>214</v>
      </c>
      <c r="O83" s="41">
        <v>585653.8</v>
      </c>
      <c r="P83" s="41">
        <v>24986.29</v>
      </c>
      <c r="Q83" s="41">
        <v>945232.95</v>
      </c>
      <c r="R83" s="41">
        <v>0</v>
      </c>
      <c r="S83" s="55">
        <v>180</v>
      </c>
      <c r="T83" s="41">
        <f>673045.71-O83</f>
        <v>87391.90999999992</v>
      </c>
      <c r="U83" s="41">
        <f>24986.29-P83</f>
        <v>0</v>
      </c>
      <c r="V83" s="41">
        <f t="shared" si="21"/>
        <v>87391.90999999992</v>
      </c>
      <c r="W83" s="56">
        <v>20</v>
      </c>
      <c r="X83" s="41">
        <f t="shared" si="22"/>
        <v>673045.71</v>
      </c>
      <c r="Y83" s="45">
        <f t="shared" si="23"/>
        <v>24986.29</v>
      </c>
      <c r="Z83" s="41">
        <v>698032</v>
      </c>
      <c r="AA83" s="55">
        <f t="shared" si="19"/>
        <v>200</v>
      </c>
      <c r="AB83" s="56">
        <v>127</v>
      </c>
      <c r="AC83" s="55">
        <f t="shared" si="20"/>
        <v>1818</v>
      </c>
      <c r="AD83" s="41">
        <v>0</v>
      </c>
      <c r="AE83" s="53"/>
      <c r="AF83" s="53"/>
      <c r="AG83" s="53">
        <v>40515</v>
      </c>
      <c r="AH83" s="53">
        <v>40830</v>
      </c>
      <c r="AI83" s="53">
        <f>AH83+1</f>
        <v>40831</v>
      </c>
      <c r="AJ83" s="53">
        <f>AI83</f>
        <v>40831</v>
      </c>
      <c r="AK83" s="57"/>
      <c r="AL83" s="57">
        <f t="shared" si="12"/>
        <v>119.18850351521667</v>
      </c>
      <c r="AM83" s="57">
        <f t="shared" si="13"/>
        <v>1010</v>
      </c>
      <c r="AN83" s="57">
        <f t="shared" si="14"/>
        <v>12.984543055775502</v>
      </c>
      <c r="AO83" s="57">
        <f t="shared" si="15"/>
        <v>10</v>
      </c>
      <c r="AP83" s="57">
        <f t="shared" si="16"/>
        <v>73.5</v>
      </c>
      <c r="AQ83" s="57">
        <f t="shared" si="17"/>
        <v>0</v>
      </c>
      <c r="AR83" s="48">
        <f t="shared" si="18"/>
        <v>161.39790265170308</v>
      </c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</row>
    <row r="84" spans="1:55" ht="13.5" customHeight="1">
      <c r="A84" s="38" t="s">
        <v>239</v>
      </c>
      <c r="B84" s="68">
        <v>42047</v>
      </c>
      <c r="C84" s="38" t="s">
        <v>6</v>
      </c>
      <c r="D84" s="36" t="s">
        <v>207</v>
      </c>
      <c r="E84" s="36"/>
      <c r="F84" s="36"/>
      <c r="G84" s="36" t="s">
        <v>207</v>
      </c>
      <c r="H84" s="36" t="s">
        <v>207</v>
      </c>
      <c r="I84" s="36" t="s">
        <v>207</v>
      </c>
      <c r="J84" s="38" t="s">
        <v>240</v>
      </c>
      <c r="K84" s="38"/>
      <c r="L84" s="54">
        <v>42460</v>
      </c>
      <c r="M84" s="28" t="s">
        <v>56</v>
      </c>
      <c r="N84" s="38" t="s">
        <v>103</v>
      </c>
      <c r="O84" s="41">
        <v>0</v>
      </c>
      <c r="P84" s="41">
        <v>0</v>
      </c>
      <c r="Q84" s="41">
        <v>1000000</v>
      </c>
      <c r="R84" s="41">
        <v>0</v>
      </c>
      <c r="S84" s="55">
        <v>0</v>
      </c>
      <c r="T84" s="41">
        <v>0</v>
      </c>
      <c r="U84" s="41">
        <v>0</v>
      </c>
      <c r="V84" s="41">
        <f t="shared" si="21"/>
        <v>0</v>
      </c>
      <c r="W84" s="56">
        <v>0</v>
      </c>
      <c r="X84" s="41">
        <f t="shared" si="22"/>
        <v>0</v>
      </c>
      <c r="Y84" s="45">
        <f t="shared" si="23"/>
        <v>0</v>
      </c>
      <c r="Z84" s="41"/>
      <c r="AA84" s="55">
        <f t="shared" si="19"/>
        <v>0</v>
      </c>
      <c r="AB84" s="56">
        <v>0</v>
      </c>
      <c r="AC84" s="55">
        <f t="shared" si="20"/>
        <v>0</v>
      </c>
      <c r="AD84" s="41">
        <v>0</v>
      </c>
      <c r="AE84" s="53">
        <v>42349</v>
      </c>
      <c r="AF84" s="53"/>
      <c r="AG84" s="53"/>
      <c r="AH84" s="53"/>
      <c r="AI84" s="53"/>
      <c r="AJ84" s="53"/>
      <c r="AK84" s="57"/>
      <c r="AL84" s="57">
        <f t="shared" si="12"/>
        <v>0</v>
      </c>
      <c r="AM84" s="57">
        <f t="shared" si="13"/>
        <v>0</v>
      </c>
      <c r="AN84" s="57">
        <f t="shared" si="14"/>
        <v>0</v>
      </c>
      <c r="AO84" s="57">
        <f t="shared" si="15"/>
        <v>0</v>
      </c>
      <c r="AP84" s="57">
        <f t="shared" si="16"/>
        <v>0</v>
      </c>
      <c r="AQ84" s="57">
        <f t="shared" si="17"/>
        <v>0</v>
      </c>
      <c r="AR84" s="48">
        <f t="shared" si="18"/>
        <v>0</v>
      </c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</row>
    <row r="85" spans="1:55" ht="13.5" customHeight="1">
      <c r="A85" s="38" t="s">
        <v>241</v>
      </c>
      <c r="B85" s="68">
        <v>40278</v>
      </c>
      <c r="C85" s="38" t="s">
        <v>6</v>
      </c>
      <c r="D85" s="36" t="s">
        <v>207</v>
      </c>
      <c r="E85" s="36"/>
      <c r="F85" s="36"/>
      <c r="G85" s="36" t="s">
        <v>207</v>
      </c>
      <c r="H85" s="36" t="s">
        <v>207</v>
      </c>
      <c r="I85" s="36" t="s">
        <v>207</v>
      </c>
      <c r="J85" s="38" t="s">
        <v>242</v>
      </c>
      <c r="K85" s="38"/>
      <c r="L85" s="54">
        <v>42460</v>
      </c>
      <c r="M85" s="13" t="s">
        <v>49</v>
      </c>
      <c r="N85" s="38" t="s">
        <v>214</v>
      </c>
      <c r="O85" s="41">
        <v>598084.76</v>
      </c>
      <c r="P85" s="41">
        <v>17105.26</v>
      </c>
      <c r="Q85" s="41">
        <v>1250781</v>
      </c>
      <c r="R85" s="41">
        <v>0</v>
      </c>
      <c r="S85" s="55">
        <v>0</v>
      </c>
      <c r="T85" s="41">
        <v>0</v>
      </c>
      <c r="U85" s="41">
        <v>0</v>
      </c>
      <c r="V85" s="41">
        <f t="shared" si="21"/>
        <v>0</v>
      </c>
      <c r="W85" s="56">
        <v>0</v>
      </c>
      <c r="X85" s="41">
        <f t="shared" si="22"/>
        <v>598084.76</v>
      </c>
      <c r="Y85" s="45">
        <f t="shared" si="23"/>
        <v>17105.26</v>
      </c>
      <c r="Z85" s="41"/>
      <c r="AA85" s="55">
        <f t="shared" si="19"/>
        <v>0</v>
      </c>
      <c r="AB85" s="56">
        <v>0</v>
      </c>
      <c r="AC85" s="55">
        <f t="shared" si="20"/>
        <v>2005</v>
      </c>
      <c r="AD85" s="41">
        <v>0</v>
      </c>
      <c r="AE85" s="53"/>
      <c r="AF85" s="53"/>
      <c r="AG85" s="53">
        <v>40455</v>
      </c>
      <c r="AH85" s="53">
        <v>40721</v>
      </c>
      <c r="AI85" s="53"/>
      <c r="AJ85" s="53"/>
      <c r="AK85" s="57"/>
      <c r="AL85" s="57">
        <f t="shared" si="12"/>
        <v>0</v>
      </c>
      <c r="AM85" s="57">
        <f t="shared" si="13"/>
        <v>0</v>
      </c>
      <c r="AN85" s="57">
        <f t="shared" si="14"/>
        <v>0</v>
      </c>
      <c r="AO85" s="57">
        <f t="shared" si="15"/>
        <v>0</v>
      </c>
      <c r="AP85" s="57">
        <f t="shared" si="16"/>
        <v>0</v>
      </c>
      <c r="AQ85" s="57">
        <f t="shared" si="17"/>
        <v>0</v>
      </c>
      <c r="AR85" s="48">
        <f t="shared" si="18"/>
        <v>209.1310602865052</v>
      </c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1:55" ht="13.5" customHeight="1">
      <c r="A86" s="38" t="s">
        <v>243</v>
      </c>
      <c r="B86" s="53">
        <v>40968</v>
      </c>
      <c r="C86" s="38" t="s">
        <v>6</v>
      </c>
      <c r="D86" s="36" t="s">
        <v>207</v>
      </c>
      <c r="E86" s="36"/>
      <c r="F86" s="36"/>
      <c r="G86" s="36" t="s">
        <v>207</v>
      </c>
      <c r="H86" s="36" t="s">
        <v>207</v>
      </c>
      <c r="I86" s="36" t="s">
        <v>207</v>
      </c>
      <c r="J86" s="38" t="s">
        <v>244</v>
      </c>
      <c r="K86" s="38" t="s">
        <v>245</v>
      </c>
      <c r="L86" s="54">
        <v>42460</v>
      </c>
      <c r="M86" s="13" t="s">
        <v>49</v>
      </c>
      <c r="N86" s="38" t="s">
        <v>214</v>
      </c>
      <c r="O86" s="41">
        <v>926273.6</v>
      </c>
      <c r="P86" s="41">
        <v>0</v>
      </c>
      <c r="Q86" s="41">
        <f>19302411.15-Q87</f>
        <v>1202411.1499999985</v>
      </c>
      <c r="R86" s="41">
        <v>0</v>
      </c>
      <c r="S86" s="55">
        <v>19</v>
      </c>
      <c r="T86" s="41">
        <v>0</v>
      </c>
      <c r="U86" s="41">
        <v>0</v>
      </c>
      <c r="V86" s="41">
        <f t="shared" si="21"/>
        <v>0</v>
      </c>
      <c r="W86" s="56">
        <v>0</v>
      </c>
      <c r="X86" s="41">
        <f t="shared" si="22"/>
        <v>926273.6</v>
      </c>
      <c r="Y86" s="45">
        <f t="shared" si="23"/>
        <v>0</v>
      </c>
      <c r="Z86" s="41">
        <v>923205.92</v>
      </c>
      <c r="AA86" s="55">
        <f t="shared" si="19"/>
        <v>19</v>
      </c>
      <c r="AB86" s="56">
        <v>12</v>
      </c>
      <c r="AC86" s="55">
        <f t="shared" si="20"/>
        <v>1236</v>
      </c>
      <c r="AD86" s="41">
        <v>0</v>
      </c>
      <c r="AE86" s="53"/>
      <c r="AF86" s="53"/>
      <c r="AG86" s="53">
        <v>41212</v>
      </c>
      <c r="AH86" s="53">
        <v>41241</v>
      </c>
      <c r="AI86" s="53">
        <f>AH86+1</f>
        <v>41242</v>
      </c>
      <c r="AJ86" s="53">
        <f>AI86</f>
        <v>41242</v>
      </c>
      <c r="AK86" s="57"/>
      <c r="AL86" s="57">
        <f t="shared" si="12"/>
        <v>99.66881491602481</v>
      </c>
      <c r="AM86" s="57">
        <f t="shared" si="13"/>
        <v>6505.263157894737</v>
      </c>
      <c r="AN86" s="57">
        <f t="shared" si="14"/>
        <v>0</v>
      </c>
      <c r="AO86" s="57">
        <f t="shared" si="15"/>
        <v>0</v>
      </c>
      <c r="AP86" s="57">
        <f t="shared" si="16"/>
        <v>63.1578947368421</v>
      </c>
      <c r="AQ86" s="57">
        <f t="shared" si="17"/>
        <v>0</v>
      </c>
      <c r="AR86" s="48">
        <f t="shared" si="18"/>
        <v>129.8116614788545</v>
      </c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</row>
    <row r="87" spans="1:55" ht="13.5" customHeight="1">
      <c r="A87" s="38" t="s">
        <v>243</v>
      </c>
      <c r="B87" s="53">
        <v>40968</v>
      </c>
      <c r="C87" s="38" t="s">
        <v>6</v>
      </c>
      <c r="D87" s="36" t="s">
        <v>207</v>
      </c>
      <c r="E87" s="36"/>
      <c r="F87" s="36"/>
      <c r="G87" s="36" t="s">
        <v>207</v>
      </c>
      <c r="H87" s="36" t="s">
        <v>207</v>
      </c>
      <c r="I87" s="36" t="s">
        <v>207</v>
      </c>
      <c r="J87" s="38" t="s">
        <v>246</v>
      </c>
      <c r="K87" s="38" t="s">
        <v>247</v>
      </c>
      <c r="L87" s="54">
        <v>42460</v>
      </c>
      <c r="M87" s="28" t="s">
        <v>56</v>
      </c>
      <c r="N87" s="38" t="s">
        <v>103</v>
      </c>
      <c r="O87" s="41">
        <v>15085000</v>
      </c>
      <c r="P87" s="41">
        <v>0</v>
      </c>
      <c r="Q87" s="41">
        <v>18100000</v>
      </c>
      <c r="R87" s="41">
        <v>0</v>
      </c>
      <c r="S87" s="55">
        <v>0</v>
      </c>
      <c r="T87" s="41">
        <v>0</v>
      </c>
      <c r="U87" s="41">
        <v>0</v>
      </c>
      <c r="V87" s="41">
        <v>0</v>
      </c>
      <c r="W87" s="56">
        <v>0</v>
      </c>
      <c r="X87" s="41">
        <f t="shared" si="22"/>
        <v>15085000</v>
      </c>
      <c r="Y87" s="45">
        <f t="shared" si="23"/>
        <v>0</v>
      </c>
      <c r="Z87" s="41">
        <v>0</v>
      </c>
      <c r="AA87" s="55">
        <f t="shared" si="19"/>
        <v>0</v>
      </c>
      <c r="AB87" s="56">
        <v>0</v>
      </c>
      <c r="AC87" s="41">
        <f>U87+Y87</f>
        <v>0</v>
      </c>
      <c r="AD87" s="41">
        <v>0</v>
      </c>
      <c r="AE87" s="53"/>
      <c r="AF87" s="53"/>
      <c r="AG87" s="53"/>
      <c r="AH87" s="53"/>
      <c r="AI87" s="53"/>
      <c r="AJ87" s="53"/>
      <c r="AK87" s="57"/>
      <c r="AL87" s="57">
        <f t="shared" si="12"/>
        <v>0</v>
      </c>
      <c r="AM87" s="57">
        <f t="shared" si="13"/>
        <v>0</v>
      </c>
      <c r="AN87" s="57">
        <f t="shared" si="14"/>
        <v>0</v>
      </c>
      <c r="AO87" s="57">
        <f t="shared" si="15"/>
        <v>0</v>
      </c>
      <c r="AP87" s="57">
        <f t="shared" si="16"/>
        <v>0</v>
      </c>
      <c r="AQ87" s="57">
        <f t="shared" si="17"/>
        <v>0</v>
      </c>
      <c r="AR87" s="48">
        <f t="shared" si="18"/>
        <v>119.98674179648658</v>
      </c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</row>
    <row r="88" spans="1:55" ht="13.5" customHeight="1">
      <c r="A88" s="38" t="s">
        <v>248</v>
      </c>
      <c r="B88" s="53">
        <v>42012</v>
      </c>
      <c r="C88" s="38" t="s">
        <v>6</v>
      </c>
      <c r="D88" s="36" t="s">
        <v>207</v>
      </c>
      <c r="E88" s="36"/>
      <c r="F88" s="36"/>
      <c r="G88" s="36" t="s">
        <v>207</v>
      </c>
      <c r="H88" s="36" t="s">
        <v>207</v>
      </c>
      <c r="I88" s="36" t="s">
        <v>207</v>
      </c>
      <c r="J88" s="38" t="s">
        <v>249</v>
      </c>
      <c r="K88" s="38"/>
      <c r="L88" s="54">
        <v>42460</v>
      </c>
      <c r="M88" s="13" t="s">
        <v>49</v>
      </c>
      <c r="N88" s="38" t="s">
        <v>214</v>
      </c>
      <c r="O88" s="41">
        <v>369840.86</v>
      </c>
      <c r="P88" s="41">
        <v>0</v>
      </c>
      <c r="Q88" s="41">
        <v>0</v>
      </c>
      <c r="R88" s="41">
        <v>0</v>
      </c>
      <c r="S88" s="55">
        <v>25</v>
      </c>
      <c r="T88" s="41">
        <v>59526.37</v>
      </c>
      <c r="U88" s="41">
        <v>0</v>
      </c>
      <c r="V88" s="41">
        <f>U88+T88</f>
        <v>59526.37</v>
      </c>
      <c r="W88" s="56">
        <v>0</v>
      </c>
      <c r="X88" s="41">
        <f t="shared" si="22"/>
        <v>429367.23</v>
      </c>
      <c r="Y88" s="45">
        <f t="shared" si="23"/>
        <v>0</v>
      </c>
      <c r="Z88" s="41">
        <v>428840.31</v>
      </c>
      <c r="AA88" s="55">
        <f t="shared" si="19"/>
        <v>25</v>
      </c>
      <c r="AB88" s="56">
        <v>7</v>
      </c>
      <c r="AC88" s="55">
        <f>IF(N88="Progettazione",0,(L88-AG88-AB88))</f>
        <v>380</v>
      </c>
      <c r="AD88" s="41">
        <v>68000</v>
      </c>
      <c r="AE88" s="53">
        <v>41879</v>
      </c>
      <c r="AF88" s="53">
        <v>42034</v>
      </c>
      <c r="AG88" s="53">
        <v>42073</v>
      </c>
      <c r="AH88" s="53">
        <v>42118</v>
      </c>
      <c r="AI88" s="53">
        <f>AH88+1</f>
        <v>42119</v>
      </c>
      <c r="AJ88" s="53">
        <f>AI88</f>
        <v>42119</v>
      </c>
      <c r="AK88" s="57"/>
      <c r="AL88" s="57">
        <f t="shared" si="12"/>
        <v>115.95265866513506</v>
      </c>
      <c r="AM88" s="57">
        <f t="shared" si="13"/>
        <v>1520</v>
      </c>
      <c r="AN88" s="57">
        <f t="shared" si="14"/>
        <v>13.863743164563353</v>
      </c>
      <c r="AO88" s="57">
        <f t="shared" si="15"/>
        <v>0</v>
      </c>
      <c r="AP88" s="57">
        <f t="shared" si="16"/>
        <v>28.000000000000004</v>
      </c>
      <c r="AQ88" s="57">
        <f t="shared" si="17"/>
        <v>18.38628646926681</v>
      </c>
      <c r="AR88" s="48">
        <f t="shared" si="18"/>
        <v>0</v>
      </c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</row>
    <row r="89" spans="1:55" ht="13.5" customHeight="1">
      <c r="A89" s="38" t="s">
        <v>250</v>
      </c>
      <c r="B89" s="68">
        <v>40675</v>
      </c>
      <c r="C89" s="38" t="s">
        <v>6</v>
      </c>
      <c r="D89" s="36" t="s">
        <v>207</v>
      </c>
      <c r="E89" s="36">
        <v>40.67406666666666</v>
      </c>
      <c r="F89" s="36">
        <v>14.74646111111111</v>
      </c>
      <c r="G89" s="36" t="s">
        <v>207</v>
      </c>
      <c r="H89" s="36" t="s">
        <v>207</v>
      </c>
      <c r="I89" s="36" t="s">
        <v>207</v>
      </c>
      <c r="J89" s="38" t="s">
        <v>251</v>
      </c>
      <c r="K89" s="38"/>
      <c r="L89" s="54">
        <v>42460</v>
      </c>
      <c r="M89" s="38" t="s">
        <v>252</v>
      </c>
      <c r="N89" s="38" t="s">
        <v>253</v>
      </c>
      <c r="O89" s="41">
        <f>16394550.18</f>
        <v>16394550.18</v>
      </c>
      <c r="P89" s="41">
        <v>548865.15</v>
      </c>
      <c r="Q89" s="41">
        <v>23000000</v>
      </c>
      <c r="R89" s="41">
        <v>0</v>
      </c>
      <c r="S89" s="55">
        <v>360</v>
      </c>
      <c r="T89" s="41">
        <v>0</v>
      </c>
      <c r="U89" s="41">
        <v>0</v>
      </c>
      <c r="V89" s="41">
        <f>U89+T89</f>
        <v>0</v>
      </c>
      <c r="W89" s="56">
        <v>0</v>
      </c>
      <c r="X89" s="41">
        <f t="shared" si="22"/>
        <v>16394550.18</v>
      </c>
      <c r="Y89" s="45">
        <f t="shared" si="23"/>
        <v>548865.15</v>
      </c>
      <c r="Z89" s="41">
        <v>0</v>
      </c>
      <c r="AA89" s="55">
        <f t="shared" si="19"/>
        <v>360</v>
      </c>
      <c r="AB89" s="56">
        <v>0</v>
      </c>
      <c r="AC89" s="55">
        <f>IF(N89="Progettazione",0,(L89-AG89-AB89))</f>
        <v>62</v>
      </c>
      <c r="AD89" s="41">
        <v>0</v>
      </c>
      <c r="AE89" s="53">
        <v>41831</v>
      </c>
      <c r="AF89" s="53"/>
      <c r="AG89" s="53">
        <v>42398</v>
      </c>
      <c r="AH89" s="53">
        <f>AG89+S89</f>
        <v>42758</v>
      </c>
      <c r="AI89" s="53"/>
      <c r="AJ89" s="53"/>
      <c r="AK89" s="57"/>
      <c r="AL89" s="57">
        <f t="shared" si="12"/>
        <v>0</v>
      </c>
      <c r="AM89" s="57">
        <f t="shared" si="13"/>
        <v>17.22222222222222</v>
      </c>
      <c r="AN89" s="57">
        <f t="shared" si="14"/>
        <v>0</v>
      </c>
      <c r="AO89" s="57">
        <f t="shared" si="15"/>
        <v>0</v>
      </c>
      <c r="AP89" s="57">
        <f t="shared" si="16"/>
        <v>0</v>
      </c>
      <c r="AQ89" s="57">
        <f t="shared" si="17"/>
        <v>0</v>
      </c>
      <c r="AR89" s="48">
        <f t="shared" si="18"/>
        <v>140.29052183486013</v>
      </c>
      <c r="AS89" s="35" t="s">
        <v>74</v>
      </c>
      <c r="AT89" s="26"/>
      <c r="AU89" s="26"/>
      <c r="AV89" s="26"/>
      <c r="AW89" s="26"/>
      <c r="AX89" s="26"/>
      <c r="AY89" s="26"/>
      <c r="AZ89" s="26"/>
      <c r="BA89" s="26"/>
      <c r="BB89" s="26"/>
      <c r="BC89" s="26"/>
    </row>
    <row r="90" spans="1:55" ht="13.5" customHeight="1">
      <c r="A90" s="69" t="s">
        <v>254</v>
      </c>
      <c r="B90" s="70">
        <v>38385</v>
      </c>
      <c r="C90" s="69" t="s">
        <v>6</v>
      </c>
      <c r="D90" s="69" t="s">
        <v>255</v>
      </c>
      <c r="E90" s="36">
        <v>40.475883333333336</v>
      </c>
      <c r="F90" s="36">
        <v>17.213419444444444</v>
      </c>
      <c r="G90" s="69" t="s">
        <v>255</v>
      </c>
      <c r="H90" s="69" t="s">
        <v>255</v>
      </c>
      <c r="I90" s="69" t="s">
        <v>255</v>
      </c>
      <c r="J90" s="71" t="s">
        <v>256</v>
      </c>
      <c r="K90" s="71" t="s">
        <v>257</v>
      </c>
      <c r="L90" s="72">
        <v>42459</v>
      </c>
      <c r="M90" s="60" t="s">
        <v>72</v>
      </c>
      <c r="N90" s="69" t="s">
        <v>182</v>
      </c>
      <c r="O90" s="50">
        <v>144226000</v>
      </c>
      <c r="P90" s="50">
        <v>11923120</v>
      </c>
      <c r="Q90" s="50">
        <v>181600000</v>
      </c>
      <c r="R90" s="50">
        <v>37544000</v>
      </c>
      <c r="S90" s="73">
        <v>1005</v>
      </c>
      <c r="T90" s="50">
        <v>54482383</v>
      </c>
      <c r="U90" s="50">
        <v>3181000</v>
      </c>
      <c r="V90" s="50">
        <v>57663383</v>
      </c>
      <c r="W90" s="74">
        <v>580</v>
      </c>
      <c r="X90" s="50">
        <v>198708383</v>
      </c>
      <c r="Y90" s="50">
        <v>15104120</v>
      </c>
      <c r="Z90" s="50">
        <v>89836917.18</v>
      </c>
      <c r="AA90" s="73">
        <v>1585</v>
      </c>
      <c r="AB90" s="75">
        <v>0</v>
      </c>
      <c r="AC90" s="75">
        <v>942</v>
      </c>
      <c r="AD90" s="50">
        <v>0</v>
      </c>
      <c r="AE90" s="70">
        <v>38785</v>
      </c>
      <c r="AF90" s="70">
        <v>41486</v>
      </c>
      <c r="AG90" s="70">
        <v>41517</v>
      </c>
      <c r="AH90" s="70">
        <v>43465</v>
      </c>
      <c r="AI90" s="70">
        <v>42704</v>
      </c>
      <c r="AJ90" s="70">
        <v>53661</v>
      </c>
      <c r="AK90" s="76"/>
      <c r="AL90" s="47">
        <f t="shared" si="12"/>
        <v>62.288988934034094</v>
      </c>
      <c r="AM90" s="47">
        <f t="shared" si="13"/>
        <v>93.73134328358209</v>
      </c>
      <c r="AN90" s="47">
        <f t="shared" si="14"/>
        <v>29.01909930996721</v>
      </c>
      <c r="AO90" s="47">
        <f t="shared" si="15"/>
        <v>36.59305993690852</v>
      </c>
      <c r="AP90" s="47">
        <f t="shared" si="16"/>
        <v>36.59305993690852</v>
      </c>
      <c r="AQ90" s="47">
        <f t="shared" si="17"/>
        <v>0</v>
      </c>
      <c r="AR90" s="48">
        <f t="shared" si="18"/>
        <v>125.91349687296326</v>
      </c>
      <c r="AS90" s="35" t="s">
        <v>74</v>
      </c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1:55" ht="13.5" customHeight="1">
      <c r="A91" s="69" t="s">
        <v>258</v>
      </c>
      <c r="B91" s="70">
        <v>39920</v>
      </c>
      <c r="C91" s="69" t="s">
        <v>6</v>
      </c>
      <c r="D91" s="69" t="s">
        <v>255</v>
      </c>
      <c r="E91" s="69"/>
      <c r="F91" s="69"/>
      <c r="G91" s="69" t="s">
        <v>255</v>
      </c>
      <c r="H91" s="69" t="s">
        <v>255</v>
      </c>
      <c r="I91" s="69" t="s">
        <v>255</v>
      </c>
      <c r="J91" s="71" t="s">
        <v>259</v>
      </c>
      <c r="K91" s="8"/>
      <c r="L91" s="72">
        <v>42459</v>
      </c>
      <c r="M91" s="28" t="s">
        <v>56</v>
      </c>
      <c r="N91" s="69" t="s">
        <v>103</v>
      </c>
      <c r="O91" s="51">
        <v>0</v>
      </c>
      <c r="P91" s="51">
        <v>0</v>
      </c>
      <c r="Q91" s="50">
        <v>7800000</v>
      </c>
      <c r="R91" s="50">
        <v>0</v>
      </c>
      <c r="S91" s="77">
        <v>0</v>
      </c>
      <c r="T91" s="59">
        <v>0</v>
      </c>
      <c r="U91" s="59">
        <v>0</v>
      </c>
      <c r="V91" s="59">
        <v>0</v>
      </c>
      <c r="W91" s="78">
        <v>0</v>
      </c>
      <c r="X91" s="59">
        <v>0</v>
      </c>
      <c r="Y91" s="59">
        <v>0</v>
      </c>
      <c r="Z91" s="59">
        <v>0</v>
      </c>
      <c r="AA91" s="77">
        <v>0</v>
      </c>
      <c r="AB91" s="61">
        <v>0</v>
      </c>
      <c r="AC91" s="61">
        <v>0</v>
      </c>
      <c r="AD91" s="59">
        <v>0</v>
      </c>
      <c r="AE91" s="70">
        <v>42017</v>
      </c>
      <c r="AF91" s="70">
        <v>42589</v>
      </c>
      <c r="AG91" s="70">
        <v>42343</v>
      </c>
      <c r="AH91" s="37"/>
      <c r="AI91" s="37"/>
      <c r="AJ91" s="37"/>
      <c r="AK91" s="26"/>
      <c r="AL91" s="47"/>
      <c r="AM91" s="47"/>
      <c r="AN91" s="47"/>
      <c r="AO91" s="47"/>
      <c r="AP91" s="47"/>
      <c r="AQ91" s="47"/>
      <c r="AR91" s="47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1:55" ht="13.5" customHeight="1">
      <c r="A92" s="69" t="s">
        <v>260</v>
      </c>
      <c r="B92" s="70">
        <v>39920</v>
      </c>
      <c r="C92" s="69" t="s">
        <v>6</v>
      </c>
      <c r="D92" s="69" t="s">
        <v>255</v>
      </c>
      <c r="E92" s="36">
        <v>40.475883333333336</v>
      </c>
      <c r="F92" s="36">
        <v>17.213419444444444</v>
      </c>
      <c r="G92" s="69" t="s">
        <v>255</v>
      </c>
      <c r="H92" s="69" t="s">
        <v>255</v>
      </c>
      <c r="I92" s="69" t="s">
        <v>255</v>
      </c>
      <c r="J92" s="71" t="s">
        <v>261</v>
      </c>
      <c r="K92" s="71" t="s">
        <v>262</v>
      </c>
      <c r="L92" s="72">
        <v>42459</v>
      </c>
      <c r="M92" s="60" t="s">
        <v>72</v>
      </c>
      <c r="N92" s="69" t="s">
        <v>182</v>
      </c>
      <c r="O92" s="50">
        <v>6632660.13</v>
      </c>
      <c r="P92" s="50">
        <v>6122339.87</v>
      </c>
      <c r="Q92" s="50">
        <v>12755000</v>
      </c>
      <c r="R92" s="50">
        <v>0</v>
      </c>
      <c r="S92" s="73">
        <v>450</v>
      </c>
      <c r="T92" s="59">
        <v>0</v>
      </c>
      <c r="U92" s="59">
        <v>0</v>
      </c>
      <c r="V92" s="59">
        <v>0</v>
      </c>
      <c r="W92" s="78">
        <v>0</v>
      </c>
      <c r="X92" s="50">
        <v>6632660.13</v>
      </c>
      <c r="Y92" s="50">
        <v>6122339.87</v>
      </c>
      <c r="Z92" s="59">
        <v>0</v>
      </c>
      <c r="AA92" s="77">
        <v>0</v>
      </c>
      <c r="AB92" s="61">
        <v>0</v>
      </c>
      <c r="AC92" s="61">
        <v>0</v>
      </c>
      <c r="AD92" s="59">
        <v>0</v>
      </c>
      <c r="AE92" s="70">
        <v>40074</v>
      </c>
      <c r="AF92" s="70">
        <v>41736</v>
      </c>
      <c r="AG92" s="37"/>
      <c r="AH92" s="70">
        <v>42877</v>
      </c>
      <c r="AI92" s="37"/>
      <c r="AJ92" s="37"/>
      <c r="AK92" s="26"/>
      <c r="AL92" s="47">
        <f>_xlfn.IFERROR(Z92/O92*100,0)</f>
        <v>0</v>
      </c>
      <c r="AM92" s="47">
        <f>_xlfn.IFERROR(AC92/S92*100,0)</f>
        <v>0</v>
      </c>
      <c r="AN92" s="47">
        <f>_xlfn.IFERROR(V92/X92*100,0)</f>
        <v>0</v>
      </c>
      <c r="AO92" s="47">
        <f>_xlfn.IFERROR(W92/AA92*100,0)</f>
        <v>0</v>
      </c>
      <c r="AP92" s="47">
        <f>_xlfn.IFERROR(((W92+AB92)/AA92)*100,0)</f>
        <v>0</v>
      </c>
      <c r="AQ92" s="47">
        <f>_xlfn.IFERROR((AD92/O92)*100,0)</f>
        <v>0</v>
      </c>
      <c r="AR92" s="48">
        <f>_xlfn.IFERROR((Q92/O92)*100,0)</f>
        <v>192.3059488953492</v>
      </c>
      <c r="AS92" s="35" t="s">
        <v>74</v>
      </c>
      <c r="AT92" s="26"/>
      <c r="AU92" s="26"/>
      <c r="AV92" s="26"/>
      <c r="AW92" s="26"/>
      <c r="AX92" s="26"/>
      <c r="AY92" s="26"/>
      <c r="AZ92" s="26"/>
      <c r="BA92" s="26"/>
      <c r="BB92" s="26"/>
      <c r="BC92" s="26"/>
    </row>
    <row r="93" spans="1:55" ht="13.5" customHeight="1">
      <c r="A93" s="69" t="s">
        <v>263</v>
      </c>
      <c r="B93" s="70">
        <v>40156</v>
      </c>
      <c r="C93" s="69" t="s">
        <v>6</v>
      </c>
      <c r="D93" s="69" t="s">
        <v>255</v>
      </c>
      <c r="E93" s="69"/>
      <c r="F93" s="69"/>
      <c r="G93" s="69" t="s">
        <v>255</v>
      </c>
      <c r="H93" s="69" t="s">
        <v>255</v>
      </c>
      <c r="I93" s="69" t="s">
        <v>255</v>
      </c>
      <c r="J93" s="71" t="s">
        <v>264</v>
      </c>
      <c r="K93" s="71" t="s">
        <v>262</v>
      </c>
      <c r="L93" s="72">
        <v>42459</v>
      </c>
      <c r="M93" s="28" t="s">
        <v>56</v>
      </c>
      <c r="N93" s="69" t="s">
        <v>103</v>
      </c>
      <c r="O93" s="51">
        <v>0</v>
      </c>
      <c r="P93" s="51">
        <v>0</v>
      </c>
      <c r="Q93" s="50">
        <v>18033074.15</v>
      </c>
      <c r="R93" s="50">
        <v>0</v>
      </c>
      <c r="S93" s="77">
        <v>0</v>
      </c>
      <c r="T93" s="59">
        <v>0</v>
      </c>
      <c r="U93" s="59">
        <v>0</v>
      </c>
      <c r="V93" s="59">
        <v>0</v>
      </c>
      <c r="W93" s="78">
        <v>0</v>
      </c>
      <c r="X93" s="59">
        <v>0</v>
      </c>
      <c r="Y93" s="59">
        <v>0</v>
      </c>
      <c r="Z93" s="59">
        <v>0</v>
      </c>
      <c r="AA93" s="77">
        <v>0</v>
      </c>
      <c r="AB93" s="61">
        <v>0</v>
      </c>
      <c r="AC93" s="61">
        <v>0</v>
      </c>
      <c r="AD93" s="59">
        <v>0</v>
      </c>
      <c r="AE93" s="70">
        <v>40532</v>
      </c>
      <c r="AF93" s="37"/>
      <c r="AG93" s="37"/>
      <c r="AH93" s="37"/>
      <c r="AI93" s="37"/>
      <c r="AJ93" s="37"/>
      <c r="AK93" s="26"/>
      <c r="AL93" s="47"/>
      <c r="AM93" s="47"/>
      <c r="AN93" s="47"/>
      <c r="AO93" s="47"/>
      <c r="AP93" s="47"/>
      <c r="AQ93" s="47"/>
      <c r="AR93" s="47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</row>
    <row r="94" spans="1:55" ht="13.5" customHeight="1">
      <c r="A94" s="69" t="s">
        <v>265</v>
      </c>
      <c r="B94" s="70">
        <v>41612</v>
      </c>
      <c r="C94" s="69" t="s">
        <v>6</v>
      </c>
      <c r="D94" s="69" t="s">
        <v>255</v>
      </c>
      <c r="E94" s="36">
        <v>40.475883333333336</v>
      </c>
      <c r="F94" s="36">
        <v>17.213419444444444</v>
      </c>
      <c r="G94" s="69" t="s">
        <v>255</v>
      </c>
      <c r="H94" s="69" t="s">
        <v>255</v>
      </c>
      <c r="I94" s="69" t="s">
        <v>255</v>
      </c>
      <c r="J94" s="71" t="s">
        <v>266</v>
      </c>
      <c r="K94" s="71" t="s">
        <v>262</v>
      </c>
      <c r="L94" s="72">
        <v>42459</v>
      </c>
      <c r="M94" s="60" t="s">
        <v>72</v>
      </c>
      <c r="N94" s="69" t="s">
        <v>182</v>
      </c>
      <c r="O94" s="50">
        <v>7035486.58</v>
      </c>
      <c r="P94" s="50">
        <v>7964513.42</v>
      </c>
      <c r="Q94" s="50">
        <v>15000000</v>
      </c>
      <c r="R94" s="50">
        <v>0</v>
      </c>
      <c r="S94" s="73">
        <v>300</v>
      </c>
      <c r="T94" s="59">
        <v>0</v>
      </c>
      <c r="U94" s="59">
        <v>0</v>
      </c>
      <c r="V94" s="59">
        <v>0</v>
      </c>
      <c r="W94" s="78">
        <v>0</v>
      </c>
      <c r="X94" s="50">
        <v>7035486.58</v>
      </c>
      <c r="Y94" s="50">
        <v>7964513.42</v>
      </c>
      <c r="Z94" s="59">
        <v>0</v>
      </c>
      <c r="AA94" s="77">
        <v>0</v>
      </c>
      <c r="AB94" s="61">
        <v>0</v>
      </c>
      <c r="AC94" s="61">
        <v>0</v>
      </c>
      <c r="AD94" s="59">
        <v>0</v>
      </c>
      <c r="AE94" s="70">
        <v>41688</v>
      </c>
      <c r="AF94" s="70">
        <v>42114</v>
      </c>
      <c r="AG94" s="70">
        <v>42324</v>
      </c>
      <c r="AH94" s="70">
        <v>42794</v>
      </c>
      <c r="AI94" s="70">
        <v>42794</v>
      </c>
      <c r="AJ94" s="37"/>
      <c r="AK94" s="26"/>
      <c r="AL94" s="47">
        <f>_xlfn.IFERROR(Z94/O94*100,0)</f>
        <v>0</v>
      </c>
      <c r="AM94" s="47">
        <f>_xlfn.IFERROR(AC94/S94*100,0)</f>
        <v>0</v>
      </c>
      <c r="AN94" s="47">
        <f>_xlfn.IFERROR(V94/X94*100,0)</f>
        <v>0</v>
      </c>
      <c r="AO94" s="47">
        <f>_xlfn.IFERROR(W94/AA94*100,0)</f>
        <v>0</v>
      </c>
      <c r="AP94" s="47">
        <f>_xlfn.IFERROR(((W94+AB94)/AA94)*100,0)</f>
        <v>0</v>
      </c>
      <c r="AQ94" s="47">
        <f>_xlfn.IFERROR((AD94/O94)*100,0)</f>
        <v>0</v>
      </c>
      <c r="AR94" s="48">
        <f>_xlfn.IFERROR((Q94/O94)*100,0)</f>
        <v>213.20486976182963</v>
      </c>
      <c r="AS94" s="35" t="s">
        <v>74</v>
      </c>
      <c r="AT94" s="26"/>
      <c r="AU94" s="26"/>
      <c r="AV94" s="26"/>
      <c r="AW94" s="26"/>
      <c r="AX94" s="26"/>
      <c r="AY94" s="26"/>
      <c r="AZ94" s="26"/>
      <c r="BA94" s="26"/>
      <c r="BB94" s="26"/>
      <c r="BC94" s="26"/>
    </row>
    <row r="95" spans="1:55" ht="13.5" customHeight="1">
      <c r="A95" s="69" t="s">
        <v>267</v>
      </c>
      <c r="B95" s="70">
        <v>39920</v>
      </c>
      <c r="C95" s="69" t="s">
        <v>6</v>
      </c>
      <c r="D95" s="69" t="s">
        <v>255</v>
      </c>
      <c r="E95" s="69"/>
      <c r="F95" s="69"/>
      <c r="G95" s="69" t="s">
        <v>255</v>
      </c>
      <c r="H95" s="69" t="s">
        <v>255</v>
      </c>
      <c r="I95" s="69" t="s">
        <v>255</v>
      </c>
      <c r="J95" s="71" t="s">
        <v>268</v>
      </c>
      <c r="K95" s="71" t="s">
        <v>262</v>
      </c>
      <c r="L95" s="72">
        <v>42459</v>
      </c>
      <c r="M95" s="28" t="s">
        <v>56</v>
      </c>
      <c r="N95" s="69" t="s">
        <v>103</v>
      </c>
      <c r="O95" s="51">
        <v>0</v>
      </c>
      <c r="P95" s="51">
        <v>0</v>
      </c>
      <c r="Q95" s="50">
        <v>25500000</v>
      </c>
      <c r="R95" s="50">
        <v>0</v>
      </c>
      <c r="S95" s="77">
        <v>0</v>
      </c>
      <c r="T95" s="59">
        <v>0</v>
      </c>
      <c r="U95" s="59">
        <v>0</v>
      </c>
      <c r="V95" s="59">
        <v>0</v>
      </c>
      <c r="W95" s="78">
        <v>0</v>
      </c>
      <c r="X95" s="59">
        <v>0</v>
      </c>
      <c r="Y95" s="59">
        <v>0</v>
      </c>
      <c r="Z95" s="59">
        <v>0</v>
      </c>
      <c r="AA95" s="77">
        <v>0</v>
      </c>
      <c r="AB95" s="61">
        <v>0</v>
      </c>
      <c r="AC95" s="61">
        <v>0</v>
      </c>
      <c r="AD95" s="59">
        <v>0</v>
      </c>
      <c r="AE95" s="70">
        <v>40581</v>
      </c>
      <c r="AF95" s="70">
        <v>42499</v>
      </c>
      <c r="AG95" s="37"/>
      <c r="AH95" s="37"/>
      <c r="AI95" s="37"/>
      <c r="AJ95" s="37"/>
      <c r="AK95" s="26"/>
      <c r="AL95" s="47"/>
      <c r="AM95" s="47"/>
      <c r="AN95" s="47"/>
      <c r="AO95" s="47"/>
      <c r="AP95" s="47"/>
      <c r="AQ95" s="47"/>
      <c r="AR95" s="47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</row>
    <row r="96" spans="1:55" ht="13.5" customHeight="1">
      <c r="A96" s="69" t="s">
        <v>269</v>
      </c>
      <c r="B96" s="70">
        <v>39981</v>
      </c>
      <c r="C96" s="69" t="s">
        <v>6</v>
      </c>
      <c r="D96" s="69" t="s">
        <v>255</v>
      </c>
      <c r="E96" s="69"/>
      <c r="F96" s="69"/>
      <c r="G96" s="69" t="s">
        <v>255</v>
      </c>
      <c r="H96" s="69" t="s">
        <v>255</v>
      </c>
      <c r="I96" s="69" t="s">
        <v>255</v>
      </c>
      <c r="J96" s="71" t="s">
        <v>270</v>
      </c>
      <c r="K96" s="71" t="s">
        <v>262</v>
      </c>
      <c r="L96" s="72">
        <v>42459</v>
      </c>
      <c r="M96" s="28" t="s">
        <v>56</v>
      </c>
      <c r="N96" s="69" t="s">
        <v>103</v>
      </c>
      <c r="O96" s="51">
        <v>0</v>
      </c>
      <c r="P96" s="51">
        <v>0</v>
      </c>
      <c r="Q96" s="50">
        <v>18800000</v>
      </c>
      <c r="R96" s="50">
        <v>0</v>
      </c>
      <c r="S96" s="77">
        <v>0</v>
      </c>
      <c r="T96" s="59">
        <v>0</v>
      </c>
      <c r="U96" s="59">
        <v>0</v>
      </c>
      <c r="V96" s="59">
        <v>0</v>
      </c>
      <c r="W96" s="78">
        <v>0</v>
      </c>
      <c r="X96" s="59">
        <v>0</v>
      </c>
      <c r="Y96" s="59">
        <v>0</v>
      </c>
      <c r="Z96" s="59">
        <v>0</v>
      </c>
      <c r="AA96" s="77">
        <v>0</v>
      </c>
      <c r="AB96" s="61">
        <v>0</v>
      </c>
      <c r="AC96" s="61">
        <v>0</v>
      </c>
      <c r="AD96" s="59">
        <v>0</v>
      </c>
      <c r="AE96" s="70">
        <v>40268</v>
      </c>
      <c r="AF96" s="37"/>
      <c r="AG96" s="37"/>
      <c r="AH96" s="37"/>
      <c r="AI96" s="37"/>
      <c r="AJ96" s="37"/>
      <c r="AK96" s="26"/>
      <c r="AL96" s="47"/>
      <c r="AM96" s="47"/>
      <c r="AN96" s="47"/>
      <c r="AO96" s="47"/>
      <c r="AP96" s="47"/>
      <c r="AQ96" s="47"/>
      <c r="AR96" s="4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pans="1:55" ht="13.5" customHeight="1">
      <c r="A97" s="69" t="s">
        <v>271</v>
      </c>
      <c r="B97" s="70">
        <v>41260</v>
      </c>
      <c r="C97" s="69" t="s">
        <v>6</v>
      </c>
      <c r="D97" s="69" t="s">
        <v>255</v>
      </c>
      <c r="E97" s="36">
        <v>40.475883333333336</v>
      </c>
      <c r="F97" s="36">
        <v>17.213419444444444</v>
      </c>
      <c r="G97" s="69" t="s">
        <v>255</v>
      </c>
      <c r="H97" s="69" t="s">
        <v>255</v>
      </c>
      <c r="I97" s="69" t="s">
        <v>255</v>
      </c>
      <c r="J97" s="71" t="s">
        <v>272</v>
      </c>
      <c r="K97" s="71" t="s">
        <v>262</v>
      </c>
      <c r="L97" s="72">
        <v>42459</v>
      </c>
      <c r="M97" s="60" t="s">
        <v>72</v>
      </c>
      <c r="N97" s="69" t="s">
        <v>182</v>
      </c>
      <c r="O97" s="50">
        <v>50378076.39</v>
      </c>
      <c r="P97" s="50">
        <v>24621923.61</v>
      </c>
      <c r="Q97" s="50">
        <v>75000000</v>
      </c>
      <c r="R97" s="50">
        <v>0</v>
      </c>
      <c r="S97" s="73">
        <v>565</v>
      </c>
      <c r="T97" s="50">
        <v>1301510.57</v>
      </c>
      <c r="U97" s="50">
        <v>-1301510.57</v>
      </c>
      <c r="V97" s="50">
        <v>0</v>
      </c>
      <c r="W97" s="74">
        <v>98</v>
      </c>
      <c r="X97" s="50">
        <v>51679586.96</v>
      </c>
      <c r="Y97" s="50">
        <v>23320413.04</v>
      </c>
      <c r="Z97" s="59">
        <v>0</v>
      </c>
      <c r="AA97" s="73">
        <v>663</v>
      </c>
      <c r="AB97" s="61">
        <v>0</v>
      </c>
      <c r="AC97" s="61">
        <v>0</v>
      </c>
      <c r="AD97" s="50">
        <v>753300</v>
      </c>
      <c r="AE97" s="70">
        <v>41936</v>
      </c>
      <c r="AF97" s="70">
        <v>41980</v>
      </c>
      <c r="AG97" s="70">
        <v>42214</v>
      </c>
      <c r="AH97" s="70">
        <v>42862</v>
      </c>
      <c r="AI97" s="70">
        <v>42552</v>
      </c>
      <c r="AJ97" s="70" t="s">
        <v>273</v>
      </c>
      <c r="AK97" s="26"/>
      <c r="AL97" s="47">
        <f aca="true" t="shared" si="24" ref="AL97:AL104">_xlfn.IFERROR(Z97/O97*100,0)</f>
        <v>0</v>
      </c>
      <c r="AM97" s="47">
        <f aca="true" t="shared" si="25" ref="AM97:AM104">_xlfn.IFERROR(AC97/S97*100,0)</f>
        <v>0</v>
      </c>
      <c r="AN97" s="47">
        <f aca="true" t="shared" si="26" ref="AN97:AN104">_xlfn.IFERROR(V97/X97*100,0)</f>
        <v>0</v>
      </c>
      <c r="AO97" s="47">
        <f aca="true" t="shared" si="27" ref="AO97:AO104">_xlfn.IFERROR(W97/AA97*100,0)</f>
        <v>14.781297134238311</v>
      </c>
      <c r="AP97" s="47">
        <f aca="true" t="shared" si="28" ref="AP97:AP104">_xlfn.IFERROR(((W97+AB97)/AA97)*100,0)</f>
        <v>14.781297134238311</v>
      </c>
      <c r="AQ97" s="47">
        <f aca="true" t="shared" si="29" ref="AQ97:AQ104">_xlfn.IFERROR((AD97/O97)*100,0)</f>
        <v>1.4952932981568334</v>
      </c>
      <c r="AR97" s="48">
        <f aca="true" t="shared" si="30" ref="AR97:AR104">_xlfn.IFERROR((Q97/O97)*100,0)</f>
        <v>148.87428297061265</v>
      </c>
      <c r="AS97" s="35" t="s">
        <v>74</v>
      </c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pans="1:55" ht="13.5" customHeight="1">
      <c r="A98" s="69" t="s">
        <v>274</v>
      </c>
      <c r="B98" s="70">
        <v>41705</v>
      </c>
      <c r="C98" s="69" t="s">
        <v>6</v>
      </c>
      <c r="D98" s="69" t="s">
        <v>255</v>
      </c>
      <c r="E98" s="36">
        <v>40.475883333333336</v>
      </c>
      <c r="F98" s="36">
        <v>17.213419444444444</v>
      </c>
      <c r="G98" s="69" t="s">
        <v>255</v>
      </c>
      <c r="H98" s="69" t="s">
        <v>255</v>
      </c>
      <c r="I98" s="69" t="s">
        <v>255</v>
      </c>
      <c r="J98" s="71" t="s">
        <v>275</v>
      </c>
      <c r="K98" s="71" t="s">
        <v>262</v>
      </c>
      <c r="L98" s="72">
        <v>42459</v>
      </c>
      <c r="M98" s="60" t="s">
        <v>72</v>
      </c>
      <c r="N98" s="69" t="s">
        <v>182</v>
      </c>
      <c r="O98" s="50">
        <v>52146254.82</v>
      </c>
      <c r="P98" s="50">
        <v>30853745.18</v>
      </c>
      <c r="Q98" s="50">
        <v>83000000</v>
      </c>
      <c r="R98" s="50">
        <v>0</v>
      </c>
      <c r="S98" s="73">
        <v>812</v>
      </c>
      <c r="T98" s="59">
        <v>0</v>
      </c>
      <c r="U98" s="59">
        <v>0</v>
      </c>
      <c r="V98" s="59">
        <v>0</v>
      </c>
      <c r="W98" s="78">
        <v>0</v>
      </c>
      <c r="X98" s="50">
        <v>52146254.82</v>
      </c>
      <c r="Y98" s="50">
        <v>30853745.18</v>
      </c>
      <c r="Z98" s="59">
        <v>0</v>
      </c>
      <c r="AA98" s="77">
        <v>0</v>
      </c>
      <c r="AB98" s="61">
        <v>0</v>
      </c>
      <c r="AC98" s="61">
        <v>0</v>
      </c>
      <c r="AD98" s="59">
        <v>0</v>
      </c>
      <c r="AE98" s="70">
        <v>42338</v>
      </c>
      <c r="AF98" s="70">
        <v>42383</v>
      </c>
      <c r="AG98" s="70">
        <v>42551</v>
      </c>
      <c r="AH98" s="70">
        <v>43100</v>
      </c>
      <c r="AI98" s="70">
        <v>43100</v>
      </c>
      <c r="AJ98" s="70" t="s">
        <v>276</v>
      </c>
      <c r="AK98" s="26"/>
      <c r="AL98" s="47">
        <f t="shared" si="24"/>
        <v>0</v>
      </c>
      <c r="AM98" s="47">
        <f t="shared" si="25"/>
        <v>0</v>
      </c>
      <c r="AN98" s="47">
        <f t="shared" si="26"/>
        <v>0</v>
      </c>
      <c r="AO98" s="47">
        <f t="shared" si="27"/>
        <v>0</v>
      </c>
      <c r="AP98" s="47">
        <f t="shared" si="28"/>
        <v>0</v>
      </c>
      <c r="AQ98" s="47">
        <f t="shared" si="29"/>
        <v>0</v>
      </c>
      <c r="AR98" s="48">
        <f t="shared" si="30"/>
        <v>159.16771067548737</v>
      </c>
      <c r="AS98" s="35" t="s">
        <v>74</v>
      </c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1:55" ht="13.5" customHeight="1">
      <c r="A99" s="36" t="s">
        <v>277</v>
      </c>
      <c r="B99" s="37">
        <v>37979</v>
      </c>
      <c r="C99" s="38" t="s">
        <v>6</v>
      </c>
      <c r="D99" s="36" t="s">
        <v>278</v>
      </c>
      <c r="E99" s="36">
        <v>45.633830555555555</v>
      </c>
      <c r="F99" s="36">
        <v>13.761755555555556</v>
      </c>
      <c r="G99" s="36" t="s">
        <v>278</v>
      </c>
      <c r="H99" s="36" t="s">
        <v>278</v>
      </c>
      <c r="I99" s="36" t="s">
        <v>278</v>
      </c>
      <c r="J99" s="38" t="s">
        <v>279</v>
      </c>
      <c r="K99" s="38"/>
      <c r="L99" s="39">
        <v>42551</v>
      </c>
      <c r="M99" s="60" t="s">
        <v>72</v>
      </c>
      <c r="N99" s="40" t="s">
        <v>93</v>
      </c>
      <c r="O99" s="42">
        <v>132432471.52</v>
      </c>
      <c r="P99" s="42">
        <v>1114889.02</v>
      </c>
      <c r="Q99" s="42">
        <f>+O99-R99</f>
        <v>102421999</v>
      </c>
      <c r="R99" s="42">
        <v>30010472.52</v>
      </c>
      <c r="S99" s="43">
        <v>836</v>
      </c>
      <c r="T99" s="42">
        <v>0</v>
      </c>
      <c r="U99" s="42">
        <v>0</v>
      </c>
      <c r="V99" s="42">
        <f aca="true" t="shared" si="31" ref="V99:V106">U99+T99</f>
        <v>0</v>
      </c>
      <c r="W99" s="44">
        <v>0</v>
      </c>
      <c r="X99" s="42">
        <f aca="true" t="shared" si="32" ref="X99:X107">O99+T99</f>
        <v>132432471.52</v>
      </c>
      <c r="Y99" s="45">
        <f aca="true" t="shared" si="33" ref="Y99:Y107">SUM(P99+U99)</f>
        <v>1114889.02</v>
      </c>
      <c r="Z99" s="42">
        <v>2294000</v>
      </c>
      <c r="AA99" s="43">
        <f aca="true" t="shared" si="34" ref="AA99:AA107">S99+W99</f>
        <v>836</v>
      </c>
      <c r="AB99" s="44">
        <v>0</v>
      </c>
      <c r="AC99" s="46">
        <f aca="true" t="shared" si="35" ref="AC99:AC107">IF(N99="Progettazione",0,(L99-AG99-AB99))</f>
        <v>127</v>
      </c>
      <c r="AD99" s="59">
        <v>80000</v>
      </c>
      <c r="AE99" s="37">
        <v>37564</v>
      </c>
      <c r="AF99" s="37">
        <v>42418</v>
      </c>
      <c r="AG99" s="37">
        <v>42424</v>
      </c>
      <c r="AH99" s="37">
        <v>43260</v>
      </c>
      <c r="AI99" s="37">
        <v>43375</v>
      </c>
      <c r="AJ99" s="37">
        <f>+AI99</f>
        <v>43375</v>
      </c>
      <c r="AK99" s="47"/>
      <c r="AL99" s="47">
        <f t="shared" si="24"/>
        <v>1.7322035703710017</v>
      </c>
      <c r="AM99" s="47">
        <f t="shared" si="25"/>
        <v>15.19138755980861</v>
      </c>
      <c r="AN99" s="47">
        <f t="shared" si="26"/>
        <v>0</v>
      </c>
      <c r="AO99" s="47">
        <f t="shared" si="27"/>
        <v>0</v>
      </c>
      <c r="AP99" s="47">
        <f t="shared" si="28"/>
        <v>0</v>
      </c>
      <c r="AQ99" s="47">
        <f t="shared" si="29"/>
        <v>0.06040814543578036</v>
      </c>
      <c r="AR99" s="48">
        <f t="shared" si="30"/>
        <v>77.33903764269188</v>
      </c>
      <c r="AS99" s="35" t="s">
        <v>74</v>
      </c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1:55" ht="13.5" customHeight="1">
      <c r="A100" s="36" t="s">
        <v>280</v>
      </c>
      <c r="B100" s="37">
        <v>41599</v>
      </c>
      <c r="C100" s="38" t="s">
        <v>6</v>
      </c>
      <c r="D100" s="36" t="s">
        <v>278</v>
      </c>
      <c r="E100" s="36">
        <v>45.633830555555555</v>
      </c>
      <c r="F100" s="36">
        <v>13.761755555555556</v>
      </c>
      <c r="G100" s="36" t="s">
        <v>278</v>
      </c>
      <c r="H100" s="36" t="s">
        <v>278</v>
      </c>
      <c r="I100" s="36" t="s">
        <v>278</v>
      </c>
      <c r="J100" s="38" t="s">
        <v>281</v>
      </c>
      <c r="K100" s="38"/>
      <c r="L100" s="39">
        <v>42551</v>
      </c>
      <c r="M100" s="60" t="s">
        <v>72</v>
      </c>
      <c r="N100" s="40" t="s">
        <v>93</v>
      </c>
      <c r="O100" s="42">
        <v>1167314.5</v>
      </c>
      <c r="P100" s="42">
        <v>75750</v>
      </c>
      <c r="Q100" s="42">
        <f>+O100</f>
        <v>1167314.5</v>
      </c>
      <c r="R100" s="42">
        <v>0</v>
      </c>
      <c r="S100" s="43">
        <v>514</v>
      </c>
      <c r="T100" s="42">
        <v>239341.93</v>
      </c>
      <c r="U100" s="42">
        <v>15531.51</v>
      </c>
      <c r="V100" s="42">
        <f t="shared" si="31"/>
        <v>254873.44</v>
      </c>
      <c r="W100" s="44">
        <v>100</v>
      </c>
      <c r="X100" s="42">
        <f t="shared" si="32"/>
        <v>1406656.43</v>
      </c>
      <c r="Y100" s="45">
        <f t="shared" si="33"/>
        <v>91281.51</v>
      </c>
      <c r="Z100" s="42">
        <v>1072151.45</v>
      </c>
      <c r="AA100" s="43">
        <f t="shared" si="34"/>
        <v>614</v>
      </c>
      <c r="AB100" s="44">
        <v>0</v>
      </c>
      <c r="AC100" s="46">
        <f t="shared" si="35"/>
        <v>588</v>
      </c>
      <c r="AD100" s="59">
        <v>184509</v>
      </c>
      <c r="AE100" s="37">
        <v>41107</v>
      </c>
      <c r="AF100" s="37">
        <v>41611</v>
      </c>
      <c r="AG100" s="37">
        <v>41963</v>
      </c>
      <c r="AH100" s="37">
        <v>42576</v>
      </c>
      <c r="AI100" s="37">
        <f>+AH100+180</f>
        <v>42756</v>
      </c>
      <c r="AJ100" s="37">
        <f>+AI100</f>
        <v>42756</v>
      </c>
      <c r="AK100" s="47"/>
      <c r="AL100" s="47">
        <f t="shared" si="24"/>
        <v>91.84769400191635</v>
      </c>
      <c r="AM100" s="47">
        <f t="shared" si="25"/>
        <v>114.39688715953307</v>
      </c>
      <c r="AN100" s="47">
        <f t="shared" si="26"/>
        <v>18.11909678612851</v>
      </c>
      <c r="AO100" s="47">
        <f t="shared" si="27"/>
        <v>16.286644951140065</v>
      </c>
      <c r="AP100" s="47">
        <f t="shared" si="28"/>
        <v>16.286644951140065</v>
      </c>
      <c r="AQ100" s="47">
        <f t="shared" si="29"/>
        <v>15.806280141298682</v>
      </c>
      <c r="AR100" s="48">
        <f t="shared" si="30"/>
        <v>100</v>
      </c>
      <c r="AS100" s="35" t="s">
        <v>74</v>
      </c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</row>
    <row r="101" spans="1:55" ht="13.5" customHeight="1">
      <c r="A101" s="36" t="s">
        <v>282</v>
      </c>
      <c r="B101" s="37">
        <v>41617</v>
      </c>
      <c r="C101" s="38" t="s">
        <v>6</v>
      </c>
      <c r="D101" s="36" t="s">
        <v>278</v>
      </c>
      <c r="E101" s="36">
        <v>45.633830555555555</v>
      </c>
      <c r="F101" s="36">
        <v>13.761755555555556</v>
      </c>
      <c r="G101" s="36" t="s">
        <v>278</v>
      </c>
      <c r="H101" s="36" t="s">
        <v>278</v>
      </c>
      <c r="I101" s="36" t="s">
        <v>278</v>
      </c>
      <c r="J101" s="38" t="s">
        <v>283</v>
      </c>
      <c r="K101" s="38"/>
      <c r="L101" s="39">
        <v>42551</v>
      </c>
      <c r="M101" s="60" t="s">
        <v>72</v>
      </c>
      <c r="N101" s="40" t="s">
        <v>93</v>
      </c>
      <c r="O101" s="42">
        <v>1996913.81</v>
      </c>
      <c r="P101" s="42">
        <v>40512.69</v>
      </c>
      <c r="Q101" s="42">
        <f>+O101</f>
        <v>1996913.81</v>
      </c>
      <c r="R101" s="42">
        <v>0</v>
      </c>
      <c r="S101" s="43">
        <v>250</v>
      </c>
      <c r="T101" s="59">
        <v>673118.6</v>
      </c>
      <c r="U101" s="59">
        <v>16470.65</v>
      </c>
      <c r="V101" s="42">
        <f t="shared" si="31"/>
        <v>689589.25</v>
      </c>
      <c r="W101" s="61">
        <v>45</v>
      </c>
      <c r="X101" s="42">
        <f t="shared" si="32"/>
        <v>2670032.41</v>
      </c>
      <c r="Y101" s="45">
        <f t="shared" si="33"/>
        <v>56983.340000000004</v>
      </c>
      <c r="Z101" s="59">
        <v>198945.78</v>
      </c>
      <c r="AA101" s="43">
        <f t="shared" si="34"/>
        <v>295</v>
      </c>
      <c r="AB101" s="44">
        <v>0</v>
      </c>
      <c r="AC101" s="46">
        <f t="shared" si="35"/>
        <v>892</v>
      </c>
      <c r="AD101" s="59">
        <v>170000</v>
      </c>
      <c r="AE101" s="37">
        <v>41068</v>
      </c>
      <c r="AF101" s="37">
        <v>41620</v>
      </c>
      <c r="AG101" s="37">
        <v>41659</v>
      </c>
      <c r="AH101" s="37">
        <v>42800</v>
      </c>
      <c r="AI101" s="37">
        <f>+AH101+180</f>
        <v>42980</v>
      </c>
      <c r="AJ101" s="37">
        <f>+AI101</f>
        <v>42980</v>
      </c>
      <c r="AK101" s="47"/>
      <c r="AL101" s="47">
        <f t="shared" si="24"/>
        <v>9.962662334434954</v>
      </c>
      <c r="AM101" s="47">
        <f t="shared" si="25"/>
        <v>356.8</v>
      </c>
      <c r="AN101" s="47">
        <f t="shared" si="26"/>
        <v>25.82699923106926</v>
      </c>
      <c r="AO101" s="47">
        <f t="shared" si="27"/>
        <v>15.254237288135593</v>
      </c>
      <c r="AP101" s="47">
        <f t="shared" si="28"/>
        <v>15.254237288135593</v>
      </c>
      <c r="AQ101" s="47">
        <f t="shared" si="29"/>
        <v>8.513136578488583</v>
      </c>
      <c r="AR101" s="48">
        <f t="shared" si="30"/>
        <v>100</v>
      </c>
      <c r="AS101" s="35" t="s">
        <v>74</v>
      </c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pans="1:55" ht="13.5" customHeight="1">
      <c r="A102" s="36" t="s">
        <v>284</v>
      </c>
      <c r="B102" s="37">
        <v>41801</v>
      </c>
      <c r="C102" s="38" t="s">
        <v>6</v>
      </c>
      <c r="D102" s="36" t="s">
        <v>278</v>
      </c>
      <c r="E102" s="36">
        <v>45.633830555555555</v>
      </c>
      <c r="F102" s="36">
        <v>13.761755555555556</v>
      </c>
      <c r="G102" s="36" t="s">
        <v>278</v>
      </c>
      <c r="H102" s="36" t="s">
        <v>278</v>
      </c>
      <c r="I102" s="36" t="s">
        <v>278</v>
      </c>
      <c r="J102" s="38" t="s">
        <v>285</v>
      </c>
      <c r="K102" s="8"/>
      <c r="L102" s="39">
        <v>42551</v>
      </c>
      <c r="M102" s="28" t="s">
        <v>72</v>
      </c>
      <c r="N102" s="40" t="s">
        <v>93</v>
      </c>
      <c r="O102" s="59">
        <v>532072.56</v>
      </c>
      <c r="P102" s="42">
        <v>30995.13</v>
      </c>
      <c r="Q102" s="42">
        <v>532071.6</v>
      </c>
      <c r="R102" s="42">
        <v>0</v>
      </c>
      <c r="S102" s="43">
        <v>120</v>
      </c>
      <c r="T102" s="42">
        <v>95327.47</v>
      </c>
      <c r="U102" s="42">
        <v>4327.89</v>
      </c>
      <c r="V102" s="42">
        <f t="shared" si="31"/>
        <v>99655.36</v>
      </c>
      <c r="W102" s="44">
        <v>45</v>
      </c>
      <c r="X102" s="42">
        <f t="shared" si="32"/>
        <v>627400.03</v>
      </c>
      <c r="Y102" s="45">
        <f t="shared" si="33"/>
        <v>35323.020000000004</v>
      </c>
      <c r="Z102" s="59">
        <v>631727.92</v>
      </c>
      <c r="AA102" s="43">
        <f t="shared" si="34"/>
        <v>165</v>
      </c>
      <c r="AB102" s="44">
        <v>0</v>
      </c>
      <c r="AC102" s="46">
        <f t="shared" si="35"/>
        <v>276</v>
      </c>
      <c r="AD102" s="59">
        <v>110965</v>
      </c>
      <c r="AE102" s="37">
        <v>41159</v>
      </c>
      <c r="AF102" s="37">
        <v>41596</v>
      </c>
      <c r="AG102" s="37">
        <v>42275</v>
      </c>
      <c r="AH102" s="37">
        <v>42483</v>
      </c>
      <c r="AI102" s="37">
        <v>42573</v>
      </c>
      <c r="AJ102" s="37">
        <v>42573</v>
      </c>
      <c r="AK102" s="47"/>
      <c r="AL102" s="47">
        <f t="shared" si="24"/>
        <v>118.72965597023082</v>
      </c>
      <c r="AM102" s="47">
        <f t="shared" si="25"/>
        <v>229.99999999999997</v>
      </c>
      <c r="AN102" s="47">
        <f t="shared" si="26"/>
        <v>15.883862804405666</v>
      </c>
      <c r="AO102" s="47">
        <f t="shared" si="27"/>
        <v>27.27272727272727</v>
      </c>
      <c r="AP102" s="47">
        <f t="shared" si="28"/>
        <v>27.27272727272727</v>
      </c>
      <c r="AQ102" s="47">
        <f t="shared" si="29"/>
        <v>20.85523824043848</v>
      </c>
      <c r="AR102" s="48">
        <f t="shared" si="30"/>
        <v>99.99981957348072</v>
      </c>
      <c r="AS102" s="35" t="s">
        <v>74</v>
      </c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</row>
    <row r="103" spans="1:55" ht="13.5" customHeight="1">
      <c r="A103" s="36" t="s">
        <v>286</v>
      </c>
      <c r="B103" s="37">
        <v>41807</v>
      </c>
      <c r="C103" s="38" t="s">
        <v>6</v>
      </c>
      <c r="D103" s="36" t="s">
        <v>278</v>
      </c>
      <c r="E103" s="36">
        <v>45.633830555555555</v>
      </c>
      <c r="F103" s="36">
        <v>13.761755555555556</v>
      </c>
      <c r="G103" s="36" t="s">
        <v>278</v>
      </c>
      <c r="H103" s="36" t="s">
        <v>278</v>
      </c>
      <c r="I103" s="36" t="s">
        <v>278</v>
      </c>
      <c r="J103" s="38" t="s">
        <v>287</v>
      </c>
      <c r="K103" s="38"/>
      <c r="L103" s="39">
        <v>42551</v>
      </c>
      <c r="M103" s="60" t="s">
        <v>72</v>
      </c>
      <c r="N103" s="40" t="s">
        <v>93</v>
      </c>
      <c r="O103" s="59">
        <v>1861053.47</v>
      </c>
      <c r="P103" s="42">
        <v>100000</v>
      </c>
      <c r="Q103" s="42">
        <f>+O103</f>
        <v>1861053.47</v>
      </c>
      <c r="R103" s="42">
        <v>0</v>
      </c>
      <c r="S103" s="43">
        <v>476</v>
      </c>
      <c r="T103" s="59">
        <v>63118.13</v>
      </c>
      <c r="U103" s="42">
        <v>5757.18</v>
      </c>
      <c r="V103" s="42">
        <f t="shared" si="31"/>
        <v>68875.31</v>
      </c>
      <c r="W103" s="44">
        <v>39</v>
      </c>
      <c r="X103" s="42">
        <f t="shared" si="32"/>
        <v>1924171.5999999999</v>
      </c>
      <c r="Y103" s="45">
        <f t="shared" si="33"/>
        <v>105757.18</v>
      </c>
      <c r="Z103" s="59">
        <v>1656436.76</v>
      </c>
      <c r="AA103" s="43">
        <f t="shared" si="34"/>
        <v>515</v>
      </c>
      <c r="AB103" s="44">
        <v>0</v>
      </c>
      <c r="AC103" s="46">
        <f t="shared" si="35"/>
        <v>574</v>
      </c>
      <c r="AD103" s="59">
        <v>514000</v>
      </c>
      <c r="AE103" s="37">
        <v>41401</v>
      </c>
      <c r="AF103" s="37">
        <v>41596</v>
      </c>
      <c r="AG103" s="37">
        <v>41977</v>
      </c>
      <c r="AH103" s="37">
        <v>42551</v>
      </c>
      <c r="AI103" s="37">
        <v>42696</v>
      </c>
      <c r="AJ103" s="37">
        <f>+AI103</f>
        <v>42696</v>
      </c>
      <c r="AK103" s="47"/>
      <c r="AL103" s="47">
        <f t="shared" si="24"/>
        <v>89.00532879369662</v>
      </c>
      <c r="AM103" s="47">
        <f t="shared" si="25"/>
        <v>120.58823529411764</v>
      </c>
      <c r="AN103" s="47">
        <f t="shared" si="26"/>
        <v>3.5794785662567725</v>
      </c>
      <c r="AO103" s="47">
        <f t="shared" si="27"/>
        <v>7.572815533980583</v>
      </c>
      <c r="AP103" s="47">
        <f t="shared" si="28"/>
        <v>7.572815533980583</v>
      </c>
      <c r="AQ103" s="47">
        <f t="shared" si="29"/>
        <v>27.61876583803903</v>
      </c>
      <c r="AR103" s="48">
        <f t="shared" si="30"/>
        <v>100</v>
      </c>
      <c r="AS103" s="35" t="s">
        <v>74</v>
      </c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</row>
    <row r="104" spans="1:55" ht="13.5" customHeight="1">
      <c r="A104" s="36" t="s">
        <v>288</v>
      </c>
      <c r="B104" s="37">
        <v>41828</v>
      </c>
      <c r="C104" s="38" t="s">
        <v>6</v>
      </c>
      <c r="D104" s="36" t="s">
        <v>278</v>
      </c>
      <c r="E104" s="36">
        <v>45.633830555555555</v>
      </c>
      <c r="F104" s="36">
        <v>13.761755555555556</v>
      </c>
      <c r="G104" s="36" t="s">
        <v>278</v>
      </c>
      <c r="H104" s="36" t="s">
        <v>278</v>
      </c>
      <c r="I104" s="36" t="s">
        <v>278</v>
      </c>
      <c r="J104" s="38" t="s">
        <v>289</v>
      </c>
      <c r="K104" s="38"/>
      <c r="L104" s="39">
        <v>42551</v>
      </c>
      <c r="M104" s="60" t="s">
        <v>72</v>
      </c>
      <c r="N104" s="40" t="s">
        <v>93</v>
      </c>
      <c r="O104" s="42">
        <v>9019448</v>
      </c>
      <c r="P104" s="42">
        <v>140000</v>
      </c>
      <c r="Q104" s="42">
        <f>+O104</f>
        <v>9019448</v>
      </c>
      <c r="R104" s="42">
        <v>0</v>
      </c>
      <c r="S104" s="43">
        <v>358</v>
      </c>
      <c r="T104" s="42">
        <v>0</v>
      </c>
      <c r="U104" s="42">
        <v>0</v>
      </c>
      <c r="V104" s="42">
        <f t="shared" si="31"/>
        <v>0</v>
      </c>
      <c r="W104" s="44">
        <v>0</v>
      </c>
      <c r="X104" s="42">
        <f t="shared" si="32"/>
        <v>9019448</v>
      </c>
      <c r="Y104" s="45">
        <f t="shared" si="33"/>
        <v>140000</v>
      </c>
      <c r="Z104" s="59">
        <v>1804437.19</v>
      </c>
      <c r="AA104" s="43">
        <f t="shared" si="34"/>
        <v>358</v>
      </c>
      <c r="AB104" s="44">
        <v>0</v>
      </c>
      <c r="AC104" s="46">
        <f t="shared" si="35"/>
        <v>113</v>
      </c>
      <c r="AD104" s="59">
        <v>958000</v>
      </c>
      <c r="AE104" s="37">
        <v>42298</v>
      </c>
      <c r="AF104" s="37">
        <v>42389</v>
      </c>
      <c r="AG104" s="37">
        <v>42438</v>
      </c>
      <c r="AH104" s="37">
        <v>42795</v>
      </c>
      <c r="AI104" s="37">
        <v>42979</v>
      </c>
      <c r="AJ104" s="37">
        <f>+AI104</f>
        <v>42979</v>
      </c>
      <c r="AK104" s="47"/>
      <c r="AL104" s="47">
        <f t="shared" si="24"/>
        <v>20.00607121411421</v>
      </c>
      <c r="AM104" s="47">
        <f t="shared" si="25"/>
        <v>31.564245810055862</v>
      </c>
      <c r="AN104" s="47">
        <f t="shared" si="26"/>
        <v>0</v>
      </c>
      <c r="AO104" s="47">
        <f t="shared" si="27"/>
        <v>0</v>
      </c>
      <c r="AP104" s="47">
        <f t="shared" si="28"/>
        <v>0</v>
      </c>
      <c r="AQ104" s="47">
        <f t="shared" si="29"/>
        <v>10.62149257914675</v>
      </c>
      <c r="AR104" s="48">
        <f t="shared" si="30"/>
        <v>100</v>
      </c>
      <c r="AS104" s="35" t="s">
        <v>74</v>
      </c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</row>
    <row r="105" spans="1:55" ht="13.5" customHeight="1">
      <c r="A105" s="8" t="s">
        <v>290</v>
      </c>
      <c r="B105" s="37">
        <v>41844</v>
      </c>
      <c r="C105" s="38" t="s">
        <v>6</v>
      </c>
      <c r="D105" s="36" t="s">
        <v>278</v>
      </c>
      <c r="E105" s="36"/>
      <c r="F105" s="36"/>
      <c r="G105" s="36" t="s">
        <v>278</v>
      </c>
      <c r="H105" s="36" t="s">
        <v>278</v>
      </c>
      <c r="I105" s="36" t="s">
        <v>278</v>
      </c>
      <c r="J105" s="8" t="s">
        <v>291</v>
      </c>
      <c r="K105" s="8"/>
      <c r="L105" s="39">
        <v>42551</v>
      </c>
      <c r="M105" s="28" t="s">
        <v>56</v>
      </c>
      <c r="N105" s="8" t="s">
        <v>103</v>
      </c>
      <c r="O105" s="42">
        <v>1845179.29</v>
      </c>
      <c r="P105" s="42">
        <v>90900</v>
      </c>
      <c r="Q105" s="42">
        <f>+O105</f>
        <v>1845179.29</v>
      </c>
      <c r="R105" s="42">
        <v>0</v>
      </c>
      <c r="S105" s="43">
        <v>365</v>
      </c>
      <c r="T105" s="42">
        <v>0</v>
      </c>
      <c r="U105" s="42">
        <v>0</v>
      </c>
      <c r="V105" s="42">
        <f t="shared" si="31"/>
        <v>0</v>
      </c>
      <c r="W105" s="44">
        <v>0</v>
      </c>
      <c r="X105" s="42">
        <f t="shared" si="32"/>
        <v>1845179.29</v>
      </c>
      <c r="Y105" s="45">
        <f t="shared" si="33"/>
        <v>90900</v>
      </c>
      <c r="Z105" s="59">
        <v>0</v>
      </c>
      <c r="AA105" s="43">
        <f t="shared" si="34"/>
        <v>365</v>
      </c>
      <c r="AB105" s="44">
        <v>0</v>
      </c>
      <c r="AC105" s="46">
        <f t="shared" si="35"/>
        <v>0</v>
      </c>
      <c r="AD105" s="59">
        <v>0</v>
      </c>
      <c r="AE105" s="37">
        <v>41954</v>
      </c>
      <c r="AF105" s="37">
        <v>41992</v>
      </c>
      <c r="AG105" s="37">
        <v>42705</v>
      </c>
      <c r="AH105" s="37">
        <f>+AG105+S105</f>
        <v>43070</v>
      </c>
      <c r="AI105" s="37">
        <f>+AH105+180</f>
        <v>43250</v>
      </c>
      <c r="AJ105" s="37">
        <f>+AI105</f>
        <v>43250</v>
      </c>
      <c r="AK105" s="47"/>
      <c r="AL105" s="47">
        <f>_xlfn.IFERROR(Z107/O107*100,0)</f>
        <v>80.37115291159272</v>
      </c>
      <c r="AM105" s="47">
        <f>_xlfn.IFERROR(AC107/S107*100,0)</f>
        <v>72.96137339055794</v>
      </c>
      <c r="AN105" s="47">
        <f>_xlfn.IFERROR(V107/X107*100,0)</f>
        <v>0</v>
      </c>
      <c r="AO105" s="47">
        <f>_xlfn.IFERROR(W107/AA107*100,0)</f>
        <v>0</v>
      </c>
      <c r="AP105" s="47">
        <f>_xlfn.IFERROR(((W107+AB107)/AA107)*100,0)</f>
        <v>0</v>
      </c>
      <c r="AQ105" s="47">
        <f>_xlfn.IFERROR((AD107/O107)*100,0)</f>
        <v>0</v>
      </c>
      <c r="AR105" s="48">
        <f>_xlfn.IFERROR((Q107/O107)*100,0)</f>
        <v>100</v>
      </c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</row>
    <row r="106" spans="1:55" ht="13.5" customHeight="1">
      <c r="A106" s="8" t="s">
        <v>292</v>
      </c>
      <c r="B106" s="37">
        <v>41844</v>
      </c>
      <c r="C106" s="38" t="s">
        <v>6</v>
      </c>
      <c r="D106" s="36" t="s">
        <v>278</v>
      </c>
      <c r="E106" s="36"/>
      <c r="F106" s="36"/>
      <c r="G106" s="36" t="s">
        <v>278</v>
      </c>
      <c r="H106" s="36" t="s">
        <v>278</v>
      </c>
      <c r="I106" s="36" t="s">
        <v>278</v>
      </c>
      <c r="J106" s="8" t="s">
        <v>293</v>
      </c>
      <c r="K106" s="8"/>
      <c r="L106" s="39">
        <v>42551</v>
      </c>
      <c r="M106" s="28" t="s">
        <v>56</v>
      </c>
      <c r="N106" s="8" t="s">
        <v>103</v>
      </c>
      <c r="O106" s="42">
        <v>628795</v>
      </c>
      <c r="P106" s="42">
        <v>21000</v>
      </c>
      <c r="Q106" s="42">
        <f>+O106</f>
        <v>628795</v>
      </c>
      <c r="R106" s="42">
        <v>0</v>
      </c>
      <c r="S106" s="43">
        <v>90</v>
      </c>
      <c r="T106" s="42">
        <v>0</v>
      </c>
      <c r="U106" s="42">
        <v>0</v>
      </c>
      <c r="V106" s="42">
        <f t="shared" si="31"/>
        <v>0</v>
      </c>
      <c r="W106" s="44">
        <v>0</v>
      </c>
      <c r="X106" s="42">
        <f t="shared" si="32"/>
        <v>628795</v>
      </c>
      <c r="Y106" s="45">
        <f t="shared" si="33"/>
        <v>21000</v>
      </c>
      <c r="Z106" s="59">
        <v>0</v>
      </c>
      <c r="AA106" s="43">
        <f t="shared" si="34"/>
        <v>90</v>
      </c>
      <c r="AB106" s="44">
        <v>0</v>
      </c>
      <c r="AC106" s="46">
        <f t="shared" si="35"/>
        <v>0</v>
      </c>
      <c r="AD106" s="59">
        <v>0</v>
      </c>
      <c r="AE106" s="37">
        <v>41913</v>
      </c>
      <c r="AF106" s="37">
        <v>41988</v>
      </c>
      <c r="AG106" s="37">
        <v>42705</v>
      </c>
      <c r="AH106" s="37">
        <v>42916</v>
      </c>
      <c r="AI106" s="37">
        <f>+AH106+180</f>
        <v>43096</v>
      </c>
      <c r="AJ106" s="37">
        <f>+AI106</f>
        <v>43096</v>
      </c>
      <c r="AK106" s="47"/>
      <c r="AL106" s="47">
        <f>_xlfn.IFERROR(Z108/O108*100,0)</f>
        <v>68.44839714296849</v>
      </c>
      <c r="AM106" s="47">
        <f>_xlfn.IFERROR(AC108/S108*100,0)</f>
        <v>93.0327868852459</v>
      </c>
      <c r="AN106" s="47">
        <f>_xlfn.IFERROR(V108/X108*100,0)</f>
        <v>0</v>
      </c>
      <c r="AO106" s="47">
        <f>_xlfn.IFERROR(W108/AA108*100,0)</f>
        <v>0</v>
      </c>
      <c r="AP106" s="47">
        <f>_xlfn.IFERROR(((W108+AB108)/AA108)*100,0)</f>
        <v>0</v>
      </c>
      <c r="AQ106" s="47">
        <f>_xlfn.IFERROR((AD108/O108)*100,0)</f>
        <v>7.246494556741917</v>
      </c>
      <c r="AR106" s="48">
        <f>_xlfn.IFERROR((Q108/O108)*100,0)</f>
        <v>100</v>
      </c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</row>
    <row r="107" spans="1:55" ht="13.5" customHeight="1">
      <c r="A107" s="60" t="s">
        <v>294</v>
      </c>
      <c r="B107" s="37">
        <v>42292</v>
      </c>
      <c r="C107" s="38" t="s">
        <v>6</v>
      </c>
      <c r="D107" s="36" t="s">
        <v>278</v>
      </c>
      <c r="E107" s="36">
        <v>45.633830555555555</v>
      </c>
      <c r="F107" s="36">
        <v>13.761755555555556</v>
      </c>
      <c r="G107" s="36" t="s">
        <v>278</v>
      </c>
      <c r="H107" s="36" t="s">
        <v>278</v>
      </c>
      <c r="I107" s="36" t="s">
        <v>278</v>
      </c>
      <c r="J107" s="8" t="s">
        <v>295</v>
      </c>
      <c r="K107" s="8"/>
      <c r="L107" s="39">
        <v>42551</v>
      </c>
      <c r="M107" s="60" t="s">
        <v>72</v>
      </c>
      <c r="N107" s="8" t="s">
        <v>93</v>
      </c>
      <c r="O107" s="42">
        <v>1556036.83</v>
      </c>
      <c r="P107" s="42">
        <v>21278.32</v>
      </c>
      <c r="Q107" s="42">
        <f>+O107</f>
        <v>1556036.83</v>
      </c>
      <c r="R107" s="42">
        <v>0</v>
      </c>
      <c r="S107" s="43">
        <v>233</v>
      </c>
      <c r="T107" s="42">
        <v>0</v>
      </c>
      <c r="U107" s="42">
        <v>0</v>
      </c>
      <c r="V107" s="42">
        <v>0</v>
      </c>
      <c r="W107" s="44">
        <v>0</v>
      </c>
      <c r="X107" s="42">
        <f t="shared" si="32"/>
        <v>1556036.83</v>
      </c>
      <c r="Y107" s="45">
        <f t="shared" si="33"/>
        <v>21278.32</v>
      </c>
      <c r="Z107" s="59">
        <v>1250604.74</v>
      </c>
      <c r="AA107" s="43">
        <f t="shared" si="34"/>
        <v>233</v>
      </c>
      <c r="AB107" s="44">
        <v>0</v>
      </c>
      <c r="AC107" s="46">
        <f t="shared" si="35"/>
        <v>170</v>
      </c>
      <c r="AD107" s="59">
        <v>0</v>
      </c>
      <c r="AE107" s="37">
        <v>42324</v>
      </c>
      <c r="AF107" s="37">
        <v>42361</v>
      </c>
      <c r="AG107" s="37">
        <v>42381</v>
      </c>
      <c r="AH107" s="37">
        <v>42613</v>
      </c>
      <c r="AI107" s="37">
        <f>+AH107+90</f>
        <v>42703</v>
      </c>
      <c r="AJ107" s="37">
        <f>+AI107</f>
        <v>42703</v>
      </c>
      <c r="AK107" s="47"/>
      <c r="AL107" s="47">
        <f>_xlfn.IFERROR(Z109/O109*100,0)</f>
        <v>0</v>
      </c>
      <c r="AM107" s="47">
        <f>_xlfn.IFERROR(AC109/S109*100,0)</f>
        <v>0</v>
      </c>
      <c r="AN107" s="47">
        <f>_xlfn.IFERROR(V109/X109*100,0)</f>
        <v>0</v>
      </c>
      <c r="AO107" s="47">
        <f>_xlfn.IFERROR(W109/AA109*100,0)</f>
        <v>0</v>
      </c>
      <c r="AP107" s="47">
        <f>_xlfn.IFERROR(((W109+AB109)/AA109)*100,0)</f>
        <v>0</v>
      </c>
      <c r="AQ107" s="47">
        <f>_xlfn.IFERROR((AD109/O109)*100,0)</f>
        <v>0</v>
      </c>
      <c r="AR107" s="48">
        <f>_xlfn.IFERROR((Q109/O109)*100,0)</f>
        <v>0</v>
      </c>
      <c r="AS107" s="35" t="s">
        <v>74</v>
      </c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5" ht="13.5" customHeight="1">
      <c r="A108" s="36" t="s">
        <v>296</v>
      </c>
      <c r="B108" s="37">
        <v>41746</v>
      </c>
      <c r="C108" s="38" t="s">
        <v>6</v>
      </c>
      <c r="D108" s="36" t="s">
        <v>297</v>
      </c>
      <c r="E108" s="36">
        <v>37.49644444444444</v>
      </c>
      <c r="F108" s="36">
        <v>15.094158333333334</v>
      </c>
      <c r="G108" s="36" t="s">
        <v>297</v>
      </c>
      <c r="H108" s="36" t="s">
        <v>297</v>
      </c>
      <c r="I108" s="36" t="s">
        <v>297</v>
      </c>
      <c r="J108" s="38" t="s">
        <v>298</v>
      </c>
      <c r="K108" s="38"/>
      <c r="L108" s="39">
        <v>42459</v>
      </c>
      <c r="M108" s="60" t="s">
        <v>72</v>
      </c>
      <c r="N108" s="40" t="s">
        <v>299</v>
      </c>
      <c r="O108" s="42">
        <v>4795422.08</v>
      </c>
      <c r="P108" s="42">
        <v>294063.37</v>
      </c>
      <c r="Q108" s="42">
        <v>4795422.08</v>
      </c>
      <c r="R108" s="42">
        <v>0</v>
      </c>
      <c r="S108" s="43">
        <v>244</v>
      </c>
      <c r="T108" s="42">
        <v>0</v>
      </c>
      <c r="U108" s="42">
        <v>0</v>
      </c>
      <c r="V108" s="42">
        <v>0</v>
      </c>
      <c r="W108" s="44">
        <v>0</v>
      </c>
      <c r="X108" s="42">
        <v>4795422.08</v>
      </c>
      <c r="Y108" s="45">
        <v>4795422.08</v>
      </c>
      <c r="Z108" s="42">
        <v>3282389.55</v>
      </c>
      <c r="AA108" s="43">
        <v>244</v>
      </c>
      <c r="AB108" s="44">
        <v>0</v>
      </c>
      <c r="AC108" s="46">
        <v>227</v>
      </c>
      <c r="AD108" s="42">
        <v>347500</v>
      </c>
      <c r="AE108" s="37">
        <v>40149</v>
      </c>
      <c r="AF108" s="37">
        <v>41697</v>
      </c>
      <c r="AG108" s="37">
        <v>42233</v>
      </c>
      <c r="AH108" s="37">
        <v>42551</v>
      </c>
      <c r="AI108" s="37"/>
      <c r="AJ108" s="37"/>
      <c r="AK108" s="47"/>
      <c r="AL108" s="47">
        <v>68.44839714296849</v>
      </c>
      <c r="AM108" s="47">
        <v>93.0327868852459</v>
      </c>
      <c r="AN108" s="47">
        <v>0</v>
      </c>
      <c r="AO108" s="47">
        <v>0</v>
      </c>
      <c r="AP108" s="47">
        <v>0</v>
      </c>
      <c r="AQ108" s="47">
        <v>7.246494556741917</v>
      </c>
      <c r="AR108" s="48">
        <v>100</v>
      </c>
      <c r="AS108" s="35" t="s">
        <v>74</v>
      </c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</row>
    <row r="109" spans="1:55" ht="13.5" customHeight="1">
      <c r="A109" s="11" t="s">
        <v>300</v>
      </c>
      <c r="B109" s="9">
        <v>40662</v>
      </c>
      <c r="C109" s="10" t="s">
        <v>6</v>
      </c>
      <c r="D109" s="11" t="s">
        <v>301</v>
      </c>
      <c r="E109" s="11"/>
      <c r="F109" s="11"/>
      <c r="G109" s="11" t="s">
        <v>301</v>
      </c>
      <c r="H109" s="11" t="s">
        <v>302</v>
      </c>
      <c r="I109" s="11" t="s">
        <v>303</v>
      </c>
      <c r="J109" s="10" t="s">
        <v>304</v>
      </c>
      <c r="K109" s="10" t="s">
        <v>305</v>
      </c>
      <c r="L109" s="12">
        <v>42480</v>
      </c>
      <c r="M109" s="28" t="s">
        <v>56</v>
      </c>
      <c r="N109" s="14" t="s">
        <v>103</v>
      </c>
      <c r="O109" s="15">
        <v>0</v>
      </c>
      <c r="P109" s="15">
        <v>0</v>
      </c>
      <c r="Q109" s="79">
        <v>14093409.53</v>
      </c>
      <c r="R109" s="15">
        <v>0</v>
      </c>
      <c r="S109" s="29">
        <v>0</v>
      </c>
      <c r="T109" s="15">
        <v>0</v>
      </c>
      <c r="U109" s="15">
        <v>0</v>
      </c>
      <c r="V109" s="15">
        <v>0</v>
      </c>
      <c r="W109" s="20">
        <v>0</v>
      </c>
      <c r="X109" s="15">
        <v>0</v>
      </c>
      <c r="Y109" s="30">
        <v>0</v>
      </c>
      <c r="Z109" s="19">
        <v>0</v>
      </c>
      <c r="AA109" s="29">
        <v>0</v>
      </c>
      <c r="AB109" s="20">
        <v>0</v>
      </c>
      <c r="AC109" s="31">
        <v>0</v>
      </c>
      <c r="AD109" s="19">
        <v>0</v>
      </c>
      <c r="AE109" s="9">
        <v>38749</v>
      </c>
      <c r="AF109" s="9">
        <v>42521</v>
      </c>
      <c r="AG109" s="9"/>
      <c r="AH109" s="9">
        <v>42735</v>
      </c>
      <c r="AI109" s="9">
        <v>39191</v>
      </c>
      <c r="AJ109" s="9">
        <v>42736</v>
      </c>
      <c r="AK109" s="23"/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4">
        <v>0</v>
      </c>
      <c r="AS109" s="25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</row>
    <row r="110" spans="1:55" ht="13.5" customHeight="1">
      <c r="A110" s="8" t="s">
        <v>306</v>
      </c>
      <c r="B110" s="37">
        <v>40583</v>
      </c>
      <c r="C110" s="38" t="s">
        <v>6</v>
      </c>
      <c r="D110" s="11" t="s">
        <v>301</v>
      </c>
      <c r="E110" s="11"/>
      <c r="F110" s="11"/>
      <c r="G110" s="11" t="s">
        <v>301</v>
      </c>
      <c r="H110" s="11" t="s">
        <v>302</v>
      </c>
      <c r="I110" s="11" t="s">
        <v>303</v>
      </c>
      <c r="J110" s="38" t="s">
        <v>307</v>
      </c>
      <c r="K110" s="38" t="s">
        <v>308</v>
      </c>
      <c r="L110" s="39">
        <v>42480</v>
      </c>
      <c r="M110" s="28" t="s">
        <v>56</v>
      </c>
      <c r="N110" s="14" t="s">
        <v>103</v>
      </c>
      <c r="O110" s="42">
        <v>0</v>
      </c>
      <c r="P110" s="42">
        <v>0</v>
      </c>
      <c r="Q110" s="41">
        <v>4100000</v>
      </c>
      <c r="R110" s="42">
        <v>0</v>
      </c>
      <c r="S110" s="43">
        <v>0</v>
      </c>
      <c r="T110" s="42">
        <v>0</v>
      </c>
      <c r="U110" s="42">
        <v>0</v>
      </c>
      <c r="V110" s="42">
        <v>0</v>
      </c>
      <c r="W110" s="44">
        <v>0</v>
      </c>
      <c r="X110" s="42">
        <v>0</v>
      </c>
      <c r="Y110" s="30">
        <v>0</v>
      </c>
      <c r="Z110" s="59">
        <v>0</v>
      </c>
      <c r="AA110" s="29">
        <v>0</v>
      </c>
      <c r="AB110" s="44">
        <v>0</v>
      </c>
      <c r="AC110" s="46">
        <v>0</v>
      </c>
      <c r="AD110" s="59">
        <v>0</v>
      </c>
      <c r="AE110" s="9">
        <v>37661</v>
      </c>
      <c r="AF110" s="37">
        <v>42460</v>
      </c>
      <c r="AG110" s="37"/>
      <c r="AH110" s="9">
        <v>43100</v>
      </c>
      <c r="AI110" s="37">
        <v>41627</v>
      </c>
      <c r="AJ110" s="9">
        <v>43101</v>
      </c>
      <c r="AK110" s="47"/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24">
        <v>0</v>
      </c>
      <c r="AS110" s="35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</row>
    <row r="111" spans="1:55" ht="13.5" customHeight="1">
      <c r="A111" s="38" t="s">
        <v>309</v>
      </c>
      <c r="B111" s="53">
        <v>40337</v>
      </c>
      <c r="C111" s="38" t="s">
        <v>6</v>
      </c>
      <c r="D111" s="66" t="s">
        <v>310</v>
      </c>
      <c r="E111" s="36">
        <v>44.45668611111111</v>
      </c>
      <c r="F111" s="36">
        <v>12.24863611111111</v>
      </c>
      <c r="G111" s="66" t="s">
        <v>310</v>
      </c>
      <c r="H111" s="66" t="s">
        <v>310</v>
      </c>
      <c r="I111" s="66" t="s">
        <v>310</v>
      </c>
      <c r="J111" s="38" t="s">
        <v>311</v>
      </c>
      <c r="K111" s="8"/>
      <c r="L111" s="54">
        <v>42551</v>
      </c>
      <c r="M111" s="60" t="s">
        <v>72</v>
      </c>
      <c r="N111" s="66" t="s">
        <v>312</v>
      </c>
      <c r="O111" s="51">
        <v>25800568.42</v>
      </c>
      <c r="P111" s="51">
        <v>341218.97</v>
      </c>
      <c r="Q111" s="51">
        <v>26141787.39</v>
      </c>
      <c r="R111" s="51">
        <v>0</v>
      </c>
      <c r="S111" s="77">
        <v>616</v>
      </c>
      <c r="T111" s="51">
        <v>0</v>
      </c>
      <c r="U111" s="50">
        <v>0</v>
      </c>
      <c r="V111" s="50">
        <v>0</v>
      </c>
      <c r="W111" s="80">
        <v>120</v>
      </c>
      <c r="X111" s="51">
        <v>25800568.42</v>
      </c>
      <c r="Y111" s="51">
        <v>341218.97</v>
      </c>
      <c r="Z111" s="51">
        <v>15003891.28</v>
      </c>
      <c r="AA111" s="77">
        <v>826</v>
      </c>
      <c r="AB111" s="81">
        <v>581</v>
      </c>
      <c r="AC111" s="81">
        <v>675</v>
      </c>
      <c r="AD111" s="50">
        <v>1559000</v>
      </c>
      <c r="AE111" s="70">
        <v>40689</v>
      </c>
      <c r="AF111" s="70">
        <v>40875</v>
      </c>
      <c r="AG111" s="70">
        <v>41232</v>
      </c>
      <c r="AH111" s="70">
        <v>42638</v>
      </c>
      <c r="AI111" s="70"/>
      <c r="AJ111" s="70"/>
      <c r="AK111" s="82" t="s">
        <v>313</v>
      </c>
      <c r="AL111" s="47">
        <f>_xlfn.IFERROR(Z111/O111*100,0)</f>
        <v>58.153336142661615</v>
      </c>
      <c r="AM111" s="47">
        <f>_xlfn.IFERROR(AC111/S111*100,0)</f>
        <v>109.57792207792207</v>
      </c>
      <c r="AN111" s="47">
        <f>_xlfn.IFERROR(V111/X111*100,0)</f>
        <v>0</v>
      </c>
      <c r="AO111" s="47">
        <f>_xlfn.IFERROR(W111/AA111*100,0)</f>
        <v>14.527845036319611</v>
      </c>
      <c r="AP111" s="47">
        <f>_xlfn.IFERROR(((W111+AB111)/AA111)*100,0)</f>
        <v>84.86682808716706</v>
      </c>
      <c r="AQ111" s="47">
        <f>_xlfn.IFERROR((AD111/O111)*100,0)</f>
        <v>6.042502531810498</v>
      </c>
      <c r="AR111" s="48">
        <f>_xlfn.IFERROR((Q111/O111)*100,0)</f>
        <v>101.32252500970287</v>
      </c>
      <c r="AS111" s="35" t="s">
        <v>74</v>
      </c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</row>
    <row r="112" spans="1:55" ht="13.5" customHeight="1">
      <c r="A112" s="38" t="s">
        <v>314</v>
      </c>
      <c r="B112" s="53">
        <v>40798</v>
      </c>
      <c r="C112" s="38" t="s">
        <v>6</v>
      </c>
      <c r="D112" s="66" t="s">
        <v>310</v>
      </c>
      <c r="E112" s="36">
        <v>44.45668611111111</v>
      </c>
      <c r="F112" s="36">
        <v>12.24863611111111</v>
      </c>
      <c r="G112" s="66" t="s">
        <v>310</v>
      </c>
      <c r="H112" s="66" t="s">
        <v>310</v>
      </c>
      <c r="I112" s="66" t="s">
        <v>310</v>
      </c>
      <c r="J112" s="38" t="s">
        <v>315</v>
      </c>
      <c r="K112" s="8"/>
      <c r="L112" s="54">
        <v>42551</v>
      </c>
      <c r="M112" s="60" t="s">
        <v>72</v>
      </c>
      <c r="N112" s="66" t="s">
        <v>312</v>
      </c>
      <c r="O112" s="51">
        <v>1328748.43</v>
      </c>
      <c r="P112" s="51">
        <v>71595.77</v>
      </c>
      <c r="Q112" s="51">
        <v>2300000</v>
      </c>
      <c r="R112" s="51">
        <v>0</v>
      </c>
      <c r="S112" s="77">
        <v>200</v>
      </c>
      <c r="T112" s="51">
        <v>0</v>
      </c>
      <c r="U112" s="50">
        <v>0</v>
      </c>
      <c r="V112" s="50">
        <v>0</v>
      </c>
      <c r="W112" s="80">
        <v>0</v>
      </c>
      <c r="X112" s="51">
        <v>1328748.43</v>
      </c>
      <c r="Y112" s="51">
        <v>71595.77</v>
      </c>
      <c r="Z112" s="51">
        <v>0</v>
      </c>
      <c r="AA112" s="77">
        <v>200</v>
      </c>
      <c r="AB112" s="80">
        <v>0</v>
      </c>
      <c r="AC112" s="80">
        <v>0</v>
      </c>
      <c r="AD112" s="51">
        <v>0</v>
      </c>
      <c r="AE112" s="70">
        <v>39168</v>
      </c>
      <c r="AF112" s="70">
        <v>39435</v>
      </c>
      <c r="AG112" s="70"/>
      <c r="AH112" s="70"/>
      <c r="AI112" s="70"/>
      <c r="AJ112" s="70"/>
      <c r="AK112" s="83" t="s">
        <v>316</v>
      </c>
      <c r="AL112" s="47">
        <f>_xlfn.IFERROR(Z112/O112*100,0)</f>
        <v>0</v>
      </c>
      <c r="AM112" s="47">
        <f>_xlfn.IFERROR(AC112/S112*100,0)</f>
        <v>0</v>
      </c>
      <c r="AN112" s="47">
        <f>_xlfn.IFERROR(V112/X112*100,0)</f>
        <v>0</v>
      </c>
      <c r="AO112" s="47">
        <f>_xlfn.IFERROR(W112/AA112*100,0)</f>
        <v>0</v>
      </c>
      <c r="AP112" s="47">
        <f>_xlfn.IFERROR(((W112+AB112)/AA112)*100,0)</f>
        <v>0</v>
      </c>
      <c r="AQ112" s="47">
        <f>_xlfn.IFERROR((AD112/O112)*100,0)</f>
        <v>0</v>
      </c>
      <c r="AR112" s="48">
        <f>_xlfn.IFERROR((Q112/O112)*100,0)</f>
        <v>173.0952186336732</v>
      </c>
      <c r="AS112" s="35" t="s">
        <v>74</v>
      </c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</row>
    <row r="113" spans="1:55" ht="13.5" customHeight="1">
      <c r="A113" s="38" t="s">
        <v>317</v>
      </c>
      <c r="B113" s="53">
        <v>41626</v>
      </c>
      <c r="C113" s="38" t="s">
        <v>6</v>
      </c>
      <c r="D113" s="66" t="s">
        <v>310</v>
      </c>
      <c r="E113" s="66"/>
      <c r="F113" s="66"/>
      <c r="G113" s="66" t="s">
        <v>310</v>
      </c>
      <c r="H113" s="66" t="s">
        <v>310</v>
      </c>
      <c r="I113" s="66" t="s">
        <v>310</v>
      </c>
      <c r="J113" s="38" t="s">
        <v>318</v>
      </c>
      <c r="K113" s="8"/>
      <c r="L113" s="54">
        <v>42551</v>
      </c>
      <c r="M113" s="28" t="s">
        <v>56</v>
      </c>
      <c r="N113" s="66" t="s">
        <v>319</v>
      </c>
      <c r="O113" s="51">
        <v>1092766.17</v>
      </c>
      <c r="P113" s="51">
        <v>12835.25</v>
      </c>
      <c r="Q113" s="51">
        <v>1770000</v>
      </c>
      <c r="R113" s="51">
        <v>0</v>
      </c>
      <c r="S113" s="77">
        <v>105</v>
      </c>
      <c r="T113" s="51">
        <v>0</v>
      </c>
      <c r="U113" s="50">
        <v>0</v>
      </c>
      <c r="V113" s="50">
        <v>0</v>
      </c>
      <c r="W113" s="80">
        <v>0</v>
      </c>
      <c r="X113" s="51">
        <v>1092766.17</v>
      </c>
      <c r="Y113" s="51">
        <v>12835.25</v>
      </c>
      <c r="Z113" s="51">
        <v>0</v>
      </c>
      <c r="AA113" s="77">
        <v>105</v>
      </c>
      <c r="AB113" s="80">
        <v>0</v>
      </c>
      <c r="AC113" s="80">
        <v>0</v>
      </c>
      <c r="AD113" s="51">
        <v>0</v>
      </c>
      <c r="AE113" s="70">
        <v>41554</v>
      </c>
      <c r="AF113" s="70">
        <v>41619</v>
      </c>
      <c r="AG113" s="70"/>
      <c r="AH113" s="70"/>
      <c r="AI113" s="70"/>
      <c r="AJ113" s="70"/>
      <c r="AK113" s="83" t="s">
        <v>320</v>
      </c>
      <c r="AL113" s="47"/>
      <c r="AM113" s="47"/>
      <c r="AN113" s="47"/>
      <c r="AO113" s="47"/>
      <c r="AP113" s="47"/>
      <c r="AQ113" s="47"/>
      <c r="AR113" s="48"/>
      <c r="AS113" s="84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</row>
    <row r="114" spans="1:55" ht="13.5" customHeight="1">
      <c r="A114" s="38" t="s">
        <v>321</v>
      </c>
      <c r="B114" s="53">
        <v>42236</v>
      </c>
      <c r="C114" s="38" t="s">
        <v>6</v>
      </c>
      <c r="D114" s="66" t="s">
        <v>310</v>
      </c>
      <c r="E114" s="66"/>
      <c r="F114" s="66"/>
      <c r="G114" s="66" t="s">
        <v>310</v>
      </c>
      <c r="H114" s="66" t="s">
        <v>310</v>
      </c>
      <c r="I114" s="66" t="s">
        <v>310</v>
      </c>
      <c r="J114" s="38" t="s">
        <v>322</v>
      </c>
      <c r="K114" s="8"/>
      <c r="L114" s="54">
        <v>42551</v>
      </c>
      <c r="M114" s="28" t="s">
        <v>56</v>
      </c>
      <c r="N114" s="66" t="s">
        <v>319</v>
      </c>
      <c r="O114" s="51">
        <v>1301816.46</v>
      </c>
      <c r="P114" s="51">
        <v>1301816.46</v>
      </c>
      <c r="Q114" s="51">
        <v>1650000</v>
      </c>
      <c r="R114" s="51">
        <v>0</v>
      </c>
      <c r="S114" s="77">
        <v>112</v>
      </c>
      <c r="T114" s="51">
        <v>0</v>
      </c>
      <c r="U114" s="50">
        <v>0</v>
      </c>
      <c r="V114" s="50">
        <v>0</v>
      </c>
      <c r="W114" s="80">
        <v>0</v>
      </c>
      <c r="X114" s="51">
        <v>1301816.46</v>
      </c>
      <c r="Y114" s="51">
        <v>1301816.46</v>
      </c>
      <c r="Z114" s="51">
        <v>0</v>
      </c>
      <c r="AA114" s="77">
        <v>112</v>
      </c>
      <c r="AB114" s="80">
        <v>0</v>
      </c>
      <c r="AC114" s="80">
        <v>0</v>
      </c>
      <c r="AD114" s="51">
        <v>0</v>
      </c>
      <c r="AE114" s="70">
        <v>42068</v>
      </c>
      <c r="AF114" s="70">
        <v>42282</v>
      </c>
      <c r="AG114" s="70"/>
      <c r="AH114" s="70"/>
      <c r="AI114" s="70"/>
      <c r="AJ114" s="70"/>
      <c r="AK114" s="83" t="s">
        <v>323</v>
      </c>
      <c r="AL114" s="47"/>
      <c r="AM114" s="47"/>
      <c r="AN114" s="47"/>
      <c r="AO114" s="47"/>
      <c r="AP114" s="47"/>
      <c r="AQ114" s="47"/>
      <c r="AR114" s="48"/>
      <c r="AS114" s="84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</row>
    <row r="115" spans="1:55" ht="13.5" customHeight="1">
      <c r="A115" s="38" t="s">
        <v>324</v>
      </c>
      <c r="B115" s="53">
        <v>42293</v>
      </c>
      <c r="C115" s="38" t="s">
        <v>6</v>
      </c>
      <c r="D115" s="66" t="s">
        <v>310</v>
      </c>
      <c r="E115" s="66"/>
      <c r="F115" s="66"/>
      <c r="G115" s="66" t="s">
        <v>310</v>
      </c>
      <c r="H115" s="66" t="s">
        <v>310</v>
      </c>
      <c r="I115" s="66" t="s">
        <v>310</v>
      </c>
      <c r="J115" s="38" t="s">
        <v>325</v>
      </c>
      <c r="K115" s="8"/>
      <c r="L115" s="54">
        <v>42551</v>
      </c>
      <c r="M115" s="28" t="s">
        <v>56</v>
      </c>
      <c r="N115" s="66" t="s">
        <v>319</v>
      </c>
      <c r="O115" s="51">
        <v>2861960.28</v>
      </c>
      <c r="P115" s="51">
        <v>80801.42</v>
      </c>
      <c r="Q115" s="51">
        <v>8300000</v>
      </c>
      <c r="R115" s="51">
        <v>0</v>
      </c>
      <c r="S115" s="77">
        <v>1460</v>
      </c>
      <c r="T115" s="51">
        <v>0</v>
      </c>
      <c r="U115" s="50">
        <v>0</v>
      </c>
      <c r="V115" s="50">
        <v>0</v>
      </c>
      <c r="W115" s="80">
        <v>0</v>
      </c>
      <c r="X115" s="51">
        <v>2861960.28</v>
      </c>
      <c r="Y115" s="51">
        <v>80801.42</v>
      </c>
      <c r="Z115" s="51">
        <v>0</v>
      </c>
      <c r="AA115" s="77">
        <v>1460</v>
      </c>
      <c r="AB115" s="80">
        <v>0</v>
      </c>
      <c r="AC115" s="80">
        <v>0</v>
      </c>
      <c r="AD115" s="51">
        <v>0</v>
      </c>
      <c r="AE115" s="70">
        <v>42089</v>
      </c>
      <c r="AF115" s="70">
        <v>42242</v>
      </c>
      <c r="AG115" s="70"/>
      <c r="AH115" s="70"/>
      <c r="AI115" s="70"/>
      <c r="AJ115" s="70"/>
      <c r="AK115" s="83" t="s">
        <v>323</v>
      </c>
      <c r="AL115" s="47"/>
      <c r="AM115" s="47"/>
      <c r="AN115" s="47"/>
      <c r="AO115" s="47"/>
      <c r="AP115" s="47"/>
      <c r="AQ115" s="47"/>
      <c r="AR115" s="48"/>
      <c r="AS115" s="84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</row>
    <row r="116" spans="1:55" ht="13.5" customHeight="1">
      <c r="A116" s="36" t="s">
        <v>326</v>
      </c>
      <c r="B116" s="37">
        <v>40842</v>
      </c>
      <c r="C116" s="8" t="s">
        <v>6</v>
      </c>
      <c r="D116" s="8" t="s">
        <v>327</v>
      </c>
      <c r="E116" s="36">
        <v>38.44687777777777</v>
      </c>
      <c r="F116" s="36">
        <v>15.901875</v>
      </c>
      <c r="G116" s="8" t="s">
        <v>327</v>
      </c>
      <c r="H116" s="8" t="s">
        <v>327</v>
      </c>
      <c r="I116" s="8" t="s">
        <v>328</v>
      </c>
      <c r="J116" s="38" t="s">
        <v>329</v>
      </c>
      <c r="K116" s="8" t="s">
        <v>330</v>
      </c>
      <c r="L116" s="39">
        <v>42460</v>
      </c>
      <c r="M116" s="60" t="s">
        <v>72</v>
      </c>
      <c r="N116" s="8" t="s">
        <v>182</v>
      </c>
      <c r="O116" s="42">
        <v>25876567.61</v>
      </c>
      <c r="P116" s="42">
        <v>0</v>
      </c>
      <c r="Q116" s="42">
        <v>25876567.61</v>
      </c>
      <c r="R116" s="42">
        <v>0</v>
      </c>
      <c r="S116" s="43">
        <v>540</v>
      </c>
      <c r="T116" s="42">
        <v>521281.3</v>
      </c>
      <c r="U116" s="42">
        <v>0</v>
      </c>
      <c r="V116" s="42">
        <f aca="true" t="shared" si="36" ref="V116:V122">U116+T116</f>
        <v>521281.3</v>
      </c>
      <c r="W116" s="44">
        <v>553</v>
      </c>
      <c r="X116" s="42">
        <v>26397848.91</v>
      </c>
      <c r="Y116" s="45">
        <f>SUM(P116+U116)</f>
        <v>0</v>
      </c>
      <c r="Z116" s="42">
        <v>20311043.99</v>
      </c>
      <c r="AA116" s="43">
        <f>S116+W116</f>
        <v>1093</v>
      </c>
      <c r="AB116" s="44">
        <v>0</v>
      </c>
      <c r="AC116" s="46">
        <f>IF(N116="Progettazione",0,(L116-AG116-AB116))</f>
        <v>976</v>
      </c>
      <c r="AD116" s="42">
        <v>2100000</v>
      </c>
      <c r="AE116" s="37">
        <v>41167</v>
      </c>
      <c r="AF116" s="37">
        <v>41449</v>
      </c>
      <c r="AG116" s="37">
        <v>41484</v>
      </c>
      <c r="AH116" s="37">
        <v>42579</v>
      </c>
      <c r="AI116" s="37">
        <v>42579</v>
      </c>
      <c r="AJ116" s="37">
        <v>42671</v>
      </c>
      <c r="AK116" s="26"/>
      <c r="AL116" s="47">
        <f aca="true" t="shared" si="37" ref="AL116:AL125">_xlfn.IFERROR(Z116/O116*100,0)</f>
        <v>78.49203300885546</v>
      </c>
      <c r="AM116" s="47">
        <f aca="true" t="shared" si="38" ref="AM116:AM125">_xlfn.IFERROR(AC116/S116*100,0)</f>
        <v>180.74074074074073</v>
      </c>
      <c r="AN116" s="47">
        <f aca="true" t="shared" si="39" ref="AN116:AN125">_xlfn.IFERROR(V116/X116*100,0)</f>
        <v>1.9747112796093356</v>
      </c>
      <c r="AO116" s="47">
        <f aca="true" t="shared" si="40" ref="AO116:AO125">_xlfn.IFERROR(W116/AA116*100,0)</f>
        <v>50.5946935041171</v>
      </c>
      <c r="AP116" s="47">
        <f aca="true" t="shared" si="41" ref="AP116:AP125">_xlfn.IFERROR(((W116+AB116)/AA116)*100,0)</f>
        <v>50.5946935041171</v>
      </c>
      <c r="AQ116" s="47">
        <f aca="true" t="shared" si="42" ref="AQ116:AQ125">_xlfn.IFERROR((AD116/O116)*100,0)</f>
        <v>8.115450362854364</v>
      </c>
      <c r="AR116" s="48">
        <f aca="true" t="shared" si="43" ref="AR116:AR125">_xlfn.IFERROR((Q116/O116)*100,0)</f>
        <v>100</v>
      </c>
      <c r="AS116" s="35" t="s">
        <v>74</v>
      </c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</row>
    <row r="117" spans="1:55" ht="13.5" customHeight="1">
      <c r="A117" s="36" t="s">
        <v>331</v>
      </c>
      <c r="B117" s="37">
        <v>40934</v>
      </c>
      <c r="C117" s="8" t="s">
        <v>6</v>
      </c>
      <c r="D117" s="8" t="s">
        <v>327</v>
      </c>
      <c r="E117" s="8"/>
      <c r="F117" s="8"/>
      <c r="G117" s="8" t="s">
        <v>327</v>
      </c>
      <c r="H117" s="8" t="s">
        <v>327</v>
      </c>
      <c r="I117" s="8" t="s">
        <v>328</v>
      </c>
      <c r="J117" s="38" t="s">
        <v>332</v>
      </c>
      <c r="K117" s="8" t="s">
        <v>330</v>
      </c>
      <c r="L117" s="39">
        <v>42460</v>
      </c>
      <c r="M117" s="28" t="s">
        <v>56</v>
      </c>
      <c r="N117" s="8" t="s">
        <v>103</v>
      </c>
      <c r="O117" s="42">
        <v>10942000</v>
      </c>
      <c r="P117" s="42">
        <v>0</v>
      </c>
      <c r="Q117" s="42">
        <v>10942000</v>
      </c>
      <c r="R117" s="42">
        <v>0</v>
      </c>
      <c r="S117" s="43">
        <v>365</v>
      </c>
      <c r="T117" s="42">
        <v>0</v>
      </c>
      <c r="U117" s="42">
        <v>0</v>
      </c>
      <c r="V117" s="42">
        <f t="shared" si="36"/>
        <v>0</v>
      </c>
      <c r="W117" s="44">
        <v>0</v>
      </c>
      <c r="X117" s="42">
        <v>10942000</v>
      </c>
      <c r="Y117" s="45">
        <f>SUM(P117+U117)</f>
        <v>0</v>
      </c>
      <c r="Z117" s="42">
        <v>0</v>
      </c>
      <c r="AA117" s="43">
        <f>S117+W117</f>
        <v>365</v>
      </c>
      <c r="AB117" s="44">
        <v>0</v>
      </c>
      <c r="AC117" s="46">
        <f>IF(N117="Progettazione",0,(L117-AG117-AB117))</f>
        <v>0</v>
      </c>
      <c r="AD117" s="42">
        <v>0</v>
      </c>
      <c r="AE117" s="37">
        <v>42093</v>
      </c>
      <c r="AF117" s="37">
        <v>42333</v>
      </c>
      <c r="AG117" s="37"/>
      <c r="AH117" s="37"/>
      <c r="AI117" s="37"/>
      <c r="AJ117" s="37"/>
      <c r="AK117" s="26"/>
      <c r="AL117" s="26">
        <f t="shared" si="37"/>
        <v>0</v>
      </c>
      <c r="AM117" s="47">
        <f t="shared" si="38"/>
        <v>0</v>
      </c>
      <c r="AN117" s="47">
        <f t="shared" si="39"/>
        <v>0</v>
      </c>
      <c r="AO117" s="26">
        <f t="shared" si="40"/>
        <v>0</v>
      </c>
      <c r="AP117" s="26">
        <f t="shared" si="41"/>
        <v>0</v>
      </c>
      <c r="AQ117" s="47">
        <f t="shared" si="42"/>
        <v>0</v>
      </c>
      <c r="AR117" s="48">
        <f t="shared" si="43"/>
        <v>100</v>
      </c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</row>
    <row r="118" spans="1:55" ht="13.5" customHeight="1">
      <c r="A118" s="36" t="s">
        <v>333</v>
      </c>
      <c r="B118" s="37">
        <v>41471</v>
      </c>
      <c r="C118" s="8" t="s">
        <v>6</v>
      </c>
      <c r="D118" s="8" t="s">
        <v>327</v>
      </c>
      <c r="E118" s="36">
        <v>38.44687777777777</v>
      </c>
      <c r="F118" s="36">
        <v>15.901875</v>
      </c>
      <c r="G118" s="8" t="s">
        <v>327</v>
      </c>
      <c r="H118" s="8" t="s">
        <v>327</v>
      </c>
      <c r="I118" s="8" t="s">
        <v>328</v>
      </c>
      <c r="J118" s="38" t="s">
        <v>334</v>
      </c>
      <c r="K118" s="8" t="s">
        <v>330</v>
      </c>
      <c r="L118" s="39">
        <v>42460</v>
      </c>
      <c r="M118" s="60" t="s">
        <v>72</v>
      </c>
      <c r="N118" s="8" t="s">
        <v>182</v>
      </c>
      <c r="O118" s="42">
        <v>11435385.02</v>
      </c>
      <c r="P118" s="42">
        <v>0</v>
      </c>
      <c r="Q118" s="42">
        <v>11435385.02</v>
      </c>
      <c r="R118" s="42">
        <v>0</v>
      </c>
      <c r="S118" s="43">
        <v>370</v>
      </c>
      <c r="T118" s="42">
        <v>0</v>
      </c>
      <c r="U118" s="42">
        <v>0</v>
      </c>
      <c r="V118" s="42">
        <f t="shared" si="36"/>
        <v>0</v>
      </c>
      <c r="W118" s="44">
        <v>0</v>
      </c>
      <c r="X118" s="42">
        <v>11435385.02</v>
      </c>
      <c r="Y118" s="45">
        <f>SUM(P119+U118)</f>
        <v>0</v>
      </c>
      <c r="Z118" s="42">
        <v>1043016.37</v>
      </c>
      <c r="AA118" s="43">
        <f>S118+W118</f>
        <v>370</v>
      </c>
      <c r="AB118" s="44">
        <v>0</v>
      </c>
      <c r="AC118" s="46">
        <f>IF(N118="Progettazione",0,(L118-AG118-AB118))</f>
        <v>167</v>
      </c>
      <c r="AD118" s="42">
        <v>0</v>
      </c>
      <c r="AE118" s="37">
        <v>41988</v>
      </c>
      <c r="AF118" s="37">
        <v>42078</v>
      </c>
      <c r="AG118" s="37">
        <v>42293</v>
      </c>
      <c r="AH118" s="37">
        <v>42659</v>
      </c>
      <c r="AI118" s="37">
        <v>42659</v>
      </c>
      <c r="AJ118" s="37">
        <v>42734</v>
      </c>
      <c r="AK118" s="26"/>
      <c r="AL118" s="47">
        <f t="shared" si="37"/>
        <v>9.120955421927718</v>
      </c>
      <c r="AM118" s="47">
        <f t="shared" si="38"/>
        <v>45.13513513513514</v>
      </c>
      <c r="AN118" s="47">
        <f t="shared" si="39"/>
        <v>0</v>
      </c>
      <c r="AO118" s="47">
        <f t="shared" si="40"/>
        <v>0</v>
      </c>
      <c r="AP118" s="47">
        <f t="shared" si="41"/>
        <v>0</v>
      </c>
      <c r="AQ118" s="47">
        <f t="shared" si="42"/>
        <v>0</v>
      </c>
      <c r="AR118" s="48">
        <f t="shared" si="43"/>
        <v>100</v>
      </c>
      <c r="AS118" s="35" t="s">
        <v>74</v>
      </c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</row>
    <row r="119" spans="1:55" ht="13.5" customHeight="1">
      <c r="A119" s="36" t="s">
        <v>335</v>
      </c>
      <c r="B119" s="37">
        <v>40127</v>
      </c>
      <c r="C119" s="8" t="s">
        <v>6</v>
      </c>
      <c r="D119" s="8" t="s">
        <v>327</v>
      </c>
      <c r="E119" s="36">
        <v>38.44687777777777</v>
      </c>
      <c r="F119" s="36">
        <v>15.901875</v>
      </c>
      <c r="G119" s="8" t="s">
        <v>327</v>
      </c>
      <c r="H119" s="8" t="s">
        <v>327</v>
      </c>
      <c r="I119" s="8" t="s">
        <v>328</v>
      </c>
      <c r="J119" s="38" t="s">
        <v>336</v>
      </c>
      <c r="K119" s="8" t="s">
        <v>330</v>
      </c>
      <c r="L119" s="39">
        <v>42460</v>
      </c>
      <c r="M119" s="60" t="s">
        <v>72</v>
      </c>
      <c r="N119" s="8" t="s">
        <v>182</v>
      </c>
      <c r="O119" s="42">
        <v>5322974.7</v>
      </c>
      <c r="P119" s="42">
        <v>0</v>
      </c>
      <c r="Q119" s="42">
        <v>5322974.7</v>
      </c>
      <c r="R119" s="42">
        <v>0</v>
      </c>
      <c r="S119" s="43">
        <v>365</v>
      </c>
      <c r="T119" s="42">
        <v>0</v>
      </c>
      <c r="U119" s="42">
        <v>0</v>
      </c>
      <c r="V119" s="42">
        <f t="shared" si="36"/>
        <v>0</v>
      </c>
      <c r="W119" s="44">
        <v>0</v>
      </c>
      <c r="X119" s="42">
        <v>5322974.7</v>
      </c>
      <c r="Y119" s="45">
        <f>SUM(P120+U119)</f>
        <v>0</v>
      </c>
      <c r="Z119" s="42">
        <v>816184.24</v>
      </c>
      <c r="AA119" s="43">
        <v>365</v>
      </c>
      <c r="AB119" s="44">
        <v>0</v>
      </c>
      <c r="AC119" s="46">
        <f>IF(N119="Progettazione",0,(L119-AG119-AB119))</f>
        <v>177</v>
      </c>
      <c r="AD119" s="42">
        <v>300000</v>
      </c>
      <c r="AE119" s="37">
        <v>42025</v>
      </c>
      <c r="AF119" s="37">
        <v>42086</v>
      </c>
      <c r="AG119" s="37">
        <v>42283</v>
      </c>
      <c r="AH119" s="37">
        <v>42649</v>
      </c>
      <c r="AI119" s="37">
        <v>42649</v>
      </c>
      <c r="AJ119" s="37">
        <v>42734</v>
      </c>
      <c r="AK119" s="26"/>
      <c r="AL119" s="47">
        <f t="shared" si="37"/>
        <v>15.333235380585219</v>
      </c>
      <c r="AM119" s="47">
        <f t="shared" si="38"/>
        <v>48.49315068493151</v>
      </c>
      <c r="AN119" s="47">
        <f t="shared" si="39"/>
        <v>0</v>
      </c>
      <c r="AO119" s="47">
        <f t="shared" si="40"/>
        <v>0</v>
      </c>
      <c r="AP119" s="47">
        <f t="shared" si="41"/>
        <v>0</v>
      </c>
      <c r="AQ119" s="47">
        <f t="shared" si="42"/>
        <v>5.635946381635066</v>
      </c>
      <c r="AR119" s="48">
        <f t="shared" si="43"/>
        <v>100</v>
      </c>
      <c r="AS119" s="35" t="s">
        <v>74</v>
      </c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</row>
    <row r="120" spans="1:55" ht="13.5" customHeight="1">
      <c r="A120" s="36" t="s">
        <v>337</v>
      </c>
      <c r="B120" s="37">
        <v>41190</v>
      </c>
      <c r="C120" s="8" t="s">
        <v>6</v>
      </c>
      <c r="D120" s="8" t="s">
        <v>327</v>
      </c>
      <c r="E120" s="8"/>
      <c r="F120" s="8"/>
      <c r="G120" s="8" t="s">
        <v>327</v>
      </c>
      <c r="H120" s="8" t="s">
        <v>327</v>
      </c>
      <c r="I120" s="8" t="s">
        <v>328</v>
      </c>
      <c r="J120" s="38" t="s">
        <v>338</v>
      </c>
      <c r="K120" s="8" t="s">
        <v>330</v>
      </c>
      <c r="L120" s="39">
        <v>42460</v>
      </c>
      <c r="M120" s="28" t="s">
        <v>56</v>
      </c>
      <c r="N120" s="8" t="s">
        <v>103</v>
      </c>
      <c r="O120" s="42">
        <v>19960000</v>
      </c>
      <c r="P120" s="42">
        <v>0</v>
      </c>
      <c r="Q120" s="42">
        <v>19960000</v>
      </c>
      <c r="R120" s="42">
        <v>20000000</v>
      </c>
      <c r="S120" s="43">
        <v>10950</v>
      </c>
      <c r="T120" s="42">
        <v>0</v>
      </c>
      <c r="U120" s="42">
        <v>0</v>
      </c>
      <c r="V120" s="42">
        <f t="shared" si="36"/>
        <v>0</v>
      </c>
      <c r="W120" s="44">
        <v>0</v>
      </c>
      <c r="X120" s="42">
        <v>19960000</v>
      </c>
      <c r="Y120" s="45">
        <f>SUM(P121+U120)</f>
        <v>0</v>
      </c>
      <c r="Z120" s="42">
        <v>0</v>
      </c>
      <c r="AA120" s="43">
        <v>10950</v>
      </c>
      <c r="AB120" s="44">
        <v>0</v>
      </c>
      <c r="AC120" s="46">
        <f>IF(N120="Progettazione",0,(L121-AG120-AB120))</f>
        <v>0</v>
      </c>
      <c r="AD120" s="42">
        <v>0</v>
      </c>
      <c r="AE120" s="37">
        <v>42490</v>
      </c>
      <c r="AF120" s="37">
        <v>42581</v>
      </c>
      <c r="AG120" s="37">
        <v>42643</v>
      </c>
      <c r="AH120" s="37">
        <v>43008</v>
      </c>
      <c r="AI120" s="37">
        <v>43008</v>
      </c>
      <c r="AJ120" s="37">
        <v>43099</v>
      </c>
      <c r="AK120" s="26"/>
      <c r="AL120" s="26">
        <f t="shared" si="37"/>
        <v>0</v>
      </c>
      <c r="AM120" s="47">
        <f t="shared" si="38"/>
        <v>0</v>
      </c>
      <c r="AN120" s="47">
        <f t="shared" si="39"/>
        <v>0</v>
      </c>
      <c r="AO120" s="26">
        <f t="shared" si="40"/>
        <v>0</v>
      </c>
      <c r="AP120" s="26">
        <f t="shared" si="41"/>
        <v>0</v>
      </c>
      <c r="AQ120" s="26">
        <f t="shared" si="42"/>
        <v>0</v>
      </c>
      <c r="AR120" s="48">
        <f t="shared" si="43"/>
        <v>100</v>
      </c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</row>
    <row r="121" spans="1:55" ht="13.5" customHeight="1">
      <c r="A121" s="36" t="s">
        <v>339</v>
      </c>
      <c r="B121" s="37">
        <v>41408</v>
      </c>
      <c r="C121" s="8" t="s">
        <v>6</v>
      </c>
      <c r="D121" s="8" t="s">
        <v>327</v>
      </c>
      <c r="E121" s="8"/>
      <c r="F121" s="8"/>
      <c r="G121" s="8" t="s">
        <v>327</v>
      </c>
      <c r="H121" s="8" t="s">
        <v>327</v>
      </c>
      <c r="I121" s="8" t="s">
        <v>328</v>
      </c>
      <c r="J121" s="38" t="s">
        <v>340</v>
      </c>
      <c r="K121" s="8" t="s">
        <v>330</v>
      </c>
      <c r="L121" s="39">
        <v>42460</v>
      </c>
      <c r="M121" s="28" t="s">
        <v>56</v>
      </c>
      <c r="N121" s="8" t="s">
        <v>103</v>
      </c>
      <c r="O121" s="42">
        <v>8179246.56</v>
      </c>
      <c r="P121" s="42">
        <v>0</v>
      </c>
      <c r="Q121" s="42">
        <v>8179246.56</v>
      </c>
      <c r="R121" s="42">
        <v>0</v>
      </c>
      <c r="S121" s="43">
        <v>540</v>
      </c>
      <c r="T121" s="42">
        <v>0</v>
      </c>
      <c r="U121" s="42">
        <v>0</v>
      </c>
      <c r="V121" s="42">
        <f t="shared" si="36"/>
        <v>0</v>
      </c>
      <c r="W121" s="44">
        <v>0</v>
      </c>
      <c r="X121" s="42">
        <v>8179246.56</v>
      </c>
      <c r="Y121" s="45">
        <f>SUM(P122+U121)</f>
        <v>55000</v>
      </c>
      <c r="Z121" s="42">
        <v>0</v>
      </c>
      <c r="AA121" s="43">
        <v>540</v>
      </c>
      <c r="AB121" s="44">
        <v>0</v>
      </c>
      <c r="AC121" s="46">
        <f>IF(N121="Progettazione",0,(L122-AG121-AB121))</f>
        <v>0</v>
      </c>
      <c r="AD121" s="42">
        <v>0</v>
      </c>
      <c r="AE121" s="37">
        <v>42277</v>
      </c>
      <c r="AF121" s="37">
        <v>42360</v>
      </c>
      <c r="AG121" s="37">
        <v>42581</v>
      </c>
      <c r="AH121" s="37">
        <v>43130</v>
      </c>
      <c r="AI121" s="37">
        <v>43130</v>
      </c>
      <c r="AJ121" s="37">
        <v>43220</v>
      </c>
      <c r="AK121" s="26"/>
      <c r="AL121" s="26">
        <f t="shared" si="37"/>
        <v>0</v>
      </c>
      <c r="AM121" s="47">
        <f t="shared" si="38"/>
        <v>0</v>
      </c>
      <c r="AN121" s="47">
        <f t="shared" si="39"/>
        <v>0</v>
      </c>
      <c r="AO121" s="26">
        <f t="shared" si="40"/>
        <v>0</v>
      </c>
      <c r="AP121" s="26">
        <f t="shared" si="41"/>
        <v>0</v>
      </c>
      <c r="AQ121" s="26">
        <f t="shared" si="42"/>
        <v>0</v>
      </c>
      <c r="AR121" s="48">
        <f t="shared" si="43"/>
        <v>100</v>
      </c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</row>
    <row r="122" spans="1:55" ht="13.5" customHeight="1">
      <c r="A122" s="36" t="s">
        <v>341</v>
      </c>
      <c r="B122" s="37">
        <v>41737</v>
      </c>
      <c r="C122" s="38" t="s">
        <v>6</v>
      </c>
      <c r="D122" s="36" t="s">
        <v>342</v>
      </c>
      <c r="E122" s="36">
        <v>40.84021666666667</v>
      </c>
      <c r="F122" s="36">
        <v>8.399763888888888</v>
      </c>
      <c r="G122" s="38" t="s">
        <v>343</v>
      </c>
      <c r="H122" s="38" t="s">
        <v>343</v>
      </c>
      <c r="I122" s="36" t="s">
        <v>344</v>
      </c>
      <c r="J122" s="85" t="s">
        <v>345</v>
      </c>
      <c r="K122" s="38" t="s">
        <v>60</v>
      </c>
      <c r="L122" s="39">
        <v>42459</v>
      </c>
      <c r="M122" s="60" t="s">
        <v>72</v>
      </c>
      <c r="N122" s="40" t="s">
        <v>93</v>
      </c>
      <c r="O122" s="41">
        <v>1298154.31</v>
      </c>
      <c r="P122" s="41">
        <v>55000</v>
      </c>
      <c r="Q122" s="42">
        <v>2000000</v>
      </c>
      <c r="R122" s="42">
        <v>0</v>
      </c>
      <c r="S122" s="43">
        <v>365</v>
      </c>
      <c r="T122" s="42">
        <f>SUM(T123:T125)</f>
        <v>90974.78</v>
      </c>
      <c r="U122" s="42">
        <f>SUM(U123:U125)</f>
        <v>0</v>
      </c>
      <c r="V122" s="42">
        <f t="shared" si="36"/>
        <v>90974.78</v>
      </c>
      <c r="W122" s="44">
        <f>SUM(W123:W125)</f>
        <v>35</v>
      </c>
      <c r="X122" s="42">
        <f>+O122</f>
        <v>1298154.31</v>
      </c>
      <c r="Y122" s="45">
        <f>+P122</f>
        <v>55000</v>
      </c>
      <c r="Z122" s="42">
        <f>SUM(Z123:Z125)</f>
        <v>1094880</v>
      </c>
      <c r="AA122" s="43">
        <f>S122+W122</f>
        <v>400</v>
      </c>
      <c r="AB122" s="44">
        <f>SUM(AB123:AB125)</f>
        <v>0</v>
      </c>
      <c r="AC122" s="46">
        <v>162</v>
      </c>
      <c r="AD122" s="42">
        <f>SUM(AD123:AD125)</f>
        <v>193000</v>
      </c>
      <c r="AE122" s="37"/>
      <c r="AF122" s="37">
        <v>40752</v>
      </c>
      <c r="AG122" s="37">
        <v>42328</v>
      </c>
      <c r="AH122" s="37">
        <v>42693</v>
      </c>
      <c r="AI122" s="37"/>
      <c r="AJ122" s="37"/>
      <c r="AK122" s="47"/>
      <c r="AL122" s="47">
        <f t="shared" si="37"/>
        <v>84.34128297120547</v>
      </c>
      <c r="AM122" s="47">
        <f t="shared" si="38"/>
        <v>44.38356164383562</v>
      </c>
      <c r="AN122" s="47">
        <f t="shared" si="39"/>
        <v>7.008009702636969</v>
      </c>
      <c r="AO122" s="47">
        <f t="shared" si="40"/>
        <v>8.75</v>
      </c>
      <c r="AP122" s="47">
        <f t="shared" si="41"/>
        <v>8.75</v>
      </c>
      <c r="AQ122" s="47">
        <f t="shared" si="42"/>
        <v>14.867261812657695</v>
      </c>
      <c r="AR122" s="48">
        <f t="shared" si="43"/>
        <v>154.0648892503388</v>
      </c>
      <c r="AS122" s="35" t="s">
        <v>74</v>
      </c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</row>
    <row r="123" spans="1:55" ht="13.5" customHeight="1">
      <c r="A123" s="36" t="s">
        <v>346</v>
      </c>
      <c r="B123" s="37">
        <v>41851</v>
      </c>
      <c r="C123" s="38" t="s">
        <v>6</v>
      </c>
      <c r="D123" s="36" t="s">
        <v>342</v>
      </c>
      <c r="E123" s="36">
        <v>40.84021666666667</v>
      </c>
      <c r="F123" s="36">
        <v>8.399763888888888</v>
      </c>
      <c r="G123" s="38" t="s">
        <v>343</v>
      </c>
      <c r="H123" s="38" t="s">
        <v>343</v>
      </c>
      <c r="I123" s="36" t="s">
        <v>344</v>
      </c>
      <c r="J123" s="85" t="s">
        <v>347</v>
      </c>
      <c r="K123" s="38" t="s">
        <v>60</v>
      </c>
      <c r="L123" s="39">
        <v>42459</v>
      </c>
      <c r="M123" s="60" t="s">
        <v>72</v>
      </c>
      <c r="N123" s="40" t="s">
        <v>93</v>
      </c>
      <c r="O123" s="42">
        <v>2144561.99</v>
      </c>
      <c r="P123" s="41">
        <v>30000</v>
      </c>
      <c r="Q123" s="41">
        <v>3000000</v>
      </c>
      <c r="R123" s="42">
        <v>0</v>
      </c>
      <c r="S123" s="43">
        <v>365</v>
      </c>
      <c r="T123" s="42">
        <v>0</v>
      </c>
      <c r="U123" s="42">
        <v>0</v>
      </c>
      <c r="V123" s="42">
        <v>0</v>
      </c>
      <c r="W123" s="44">
        <v>0</v>
      </c>
      <c r="X123" s="42">
        <f>+O123</f>
        <v>2144561.99</v>
      </c>
      <c r="Y123" s="45">
        <f>+P123</f>
        <v>30000</v>
      </c>
      <c r="Z123" s="59">
        <v>0</v>
      </c>
      <c r="AA123" s="43">
        <v>300</v>
      </c>
      <c r="AB123" s="61">
        <v>0</v>
      </c>
      <c r="AC123" s="46">
        <v>121</v>
      </c>
      <c r="AD123" s="59">
        <v>0</v>
      </c>
      <c r="AE123" s="37"/>
      <c r="AF123" s="37">
        <v>41779</v>
      </c>
      <c r="AG123" s="37">
        <v>42338</v>
      </c>
      <c r="AH123" s="37">
        <v>42638</v>
      </c>
      <c r="AI123" s="37"/>
      <c r="AJ123" s="37"/>
      <c r="AK123" s="47"/>
      <c r="AL123" s="47">
        <f t="shared" si="37"/>
        <v>0</v>
      </c>
      <c r="AM123" s="47">
        <f t="shared" si="38"/>
        <v>33.15068493150685</v>
      </c>
      <c r="AN123" s="47">
        <f t="shared" si="39"/>
        <v>0</v>
      </c>
      <c r="AO123" s="47">
        <f t="shared" si="40"/>
        <v>0</v>
      </c>
      <c r="AP123" s="47">
        <f t="shared" si="41"/>
        <v>0</v>
      </c>
      <c r="AQ123" s="47">
        <f t="shared" si="42"/>
        <v>0</v>
      </c>
      <c r="AR123" s="48">
        <f t="shared" si="43"/>
        <v>139.88870519895764</v>
      </c>
      <c r="AS123" s="35" t="s">
        <v>74</v>
      </c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</row>
    <row r="124" spans="1:55" ht="13.5" customHeight="1">
      <c r="A124" s="36" t="s">
        <v>348</v>
      </c>
      <c r="B124" s="37">
        <v>41968</v>
      </c>
      <c r="C124" s="38" t="s">
        <v>6</v>
      </c>
      <c r="D124" s="38" t="s">
        <v>342</v>
      </c>
      <c r="E124" s="38"/>
      <c r="F124" s="38"/>
      <c r="G124" s="38" t="s">
        <v>343</v>
      </c>
      <c r="H124" s="38" t="s">
        <v>343</v>
      </c>
      <c r="I124" s="38" t="s">
        <v>349</v>
      </c>
      <c r="J124" s="38" t="s">
        <v>350</v>
      </c>
      <c r="K124" s="38" t="s">
        <v>60</v>
      </c>
      <c r="L124" s="39">
        <v>42460</v>
      </c>
      <c r="M124" s="28" t="s">
        <v>56</v>
      </c>
      <c r="N124" s="40" t="s">
        <v>103</v>
      </c>
      <c r="O124" s="59">
        <v>0</v>
      </c>
      <c r="P124" s="59">
        <v>0</v>
      </c>
      <c r="Q124" s="42">
        <v>3000000</v>
      </c>
      <c r="R124" s="59">
        <v>0</v>
      </c>
      <c r="S124" s="62">
        <v>0</v>
      </c>
      <c r="T124" s="59">
        <v>0</v>
      </c>
      <c r="U124" s="59">
        <v>0</v>
      </c>
      <c r="V124" s="59">
        <v>0</v>
      </c>
      <c r="W124" s="61">
        <v>0</v>
      </c>
      <c r="X124" s="59">
        <v>0</v>
      </c>
      <c r="Y124" s="45">
        <v>0</v>
      </c>
      <c r="Z124" s="59">
        <v>0</v>
      </c>
      <c r="AA124" s="62">
        <v>0</v>
      </c>
      <c r="AB124" s="61">
        <v>0</v>
      </c>
      <c r="AC124" s="63">
        <v>0</v>
      </c>
      <c r="AD124" s="59">
        <v>0</v>
      </c>
      <c r="AE124" s="37">
        <v>41904</v>
      </c>
      <c r="AF124" s="37">
        <v>41928</v>
      </c>
      <c r="AG124" s="37"/>
      <c r="AH124" s="37"/>
      <c r="AI124" s="37"/>
      <c r="AJ124" s="37"/>
      <c r="AK124" s="47"/>
      <c r="AL124" s="47">
        <f t="shared" si="37"/>
        <v>0</v>
      </c>
      <c r="AM124" s="47">
        <f t="shared" si="38"/>
        <v>0</v>
      </c>
      <c r="AN124" s="47">
        <f t="shared" si="39"/>
        <v>0</v>
      </c>
      <c r="AO124" s="47">
        <f t="shared" si="40"/>
        <v>0</v>
      </c>
      <c r="AP124" s="47">
        <f t="shared" si="41"/>
        <v>0</v>
      </c>
      <c r="AQ124" s="47">
        <f t="shared" si="42"/>
        <v>0</v>
      </c>
      <c r="AR124" s="48">
        <f t="shared" si="43"/>
        <v>0</v>
      </c>
      <c r="AS124" s="35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</row>
    <row r="125" spans="1:55" ht="13.5" customHeight="1">
      <c r="A125" s="36" t="s">
        <v>351</v>
      </c>
      <c r="B125" s="37">
        <v>41968</v>
      </c>
      <c r="C125" s="38" t="s">
        <v>6</v>
      </c>
      <c r="D125" s="36" t="s">
        <v>342</v>
      </c>
      <c r="E125" s="36">
        <v>40.84021666666667</v>
      </c>
      <c r="F125" s="36">
        <v>8.399763888888888</v>
      </c>
      <c r="G125" s="38" t="s">
        <v>343</v>
      </c>
      <c r="H125" s="38" t="s">
        <v>343</v>
      </c>
      <c r="I125" s="38" t="s">
        <v>349</v>
      </c>
      <c r="J125" s="38" t="s">
        <v>352</v>
      </c>
      <c r="K125" s="38" t="s">
        <v>60</v>
      </c>
      <c r="L125" s="39">
        <v>42460</v>
      </c>
      <c r="M125" s="60" t="s">
        <v>72</v>
      </c>
      <c r="N125" s="40" t="s">
        <v>93</v>
      </c>
      <c r="O125" s="42">
        <v>2063781.22</v>
      </c>
      <c r="P125" s="42">
        <v>63900</v>
      </c>
      <c r="Q125" s="42">
        <v>2900000</v>
      </c>
      <c r="R125" s="59">
        <v>0</v>
      </c>
      <c r="S125" s="55">
        <v>180</v>
      </c>
      <c r="T125" s="42">
        <v>90974.78</v>
      </c>
      <c r="U125" s="42"/>
      <c r="V125" s="42">
        <f>T125</f>
        <v>90974.78</v>
      </c>
      <c r="W125" s="56">
        <v>35</v>
      </c>
      <c r="X125" s="42">
        <f>O125+V125</f>
        <v>2154756</v>
      </c>
      <c r="Y125" s="42">
        <f>P125</f>
        <v>63900</v>
      </c>
      <c r="Z125" s="42">
        <f>583000+511880</f>
        <v>1094880</v>
      </c>
      <c r="AA125" s="55">
        <f>180+35</f>
        <v>215</v>
      </c>
      <c r="AB125" s="61">
        <v>0</v>
      </c>
      <c r="AC125" s="56">
        <v>160</v>
      </c>
      <c r="AD125" s="42">
        <f>45000+13000+45000+50000+40000</f>
        <v>193000</v>
      </c>
      <c r="AE125" s="37">
        <v>41904</v>
      </c>
      <c r="AF125" s="37">
        <v>42055</v>
      </c>
      <c r="AG125" s="37">
        <v>42269</v>
      </c>
      <c r="AH125" s="37">
        <v>42520</v>
      </c>
      <c r="AI125" s="37">
        <v>42536</v>
      </c>
      <c r="AJ125" s="37">
        <v>42444</v>
      </c>
      <c r="AK125" s="26"/>
      <c r="AL125" s="47">
        <f t="shared" si="37"/>
        <v>53.052135051408214</v>
      </c>
      <c r="AM125" s="47">
        <f t="shared" si="38"/>
        <v>88.88888888888889</v>
      </c>
      <c r="AN125" s="47">
        <f t="shared" si="39"/>
        <v>4.22204555875468</v>
      </c>
      <c r="AO125" s="47">
        <f t="shared" si="40"/>
        <v>16.27906976744186</v>
      </c>
      <c r="AP125" s="47">
        <f t="shared" si="41"/>
        <v>16.27906976744186</v>
      </c>
      <c r="AQ125" s="47">
        <f t="shared" si="42"/>
        <v>9.351766462919942</v>
      </c>
      <c r="AR125" s="48">
        <f t="shared" si="43"/>
        <v>140.5187706863618</v>
      </c>
      <c r="AS125" s="35" t="s">
        <v>74</v>
      </c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</row>
    <row r="126" spans="1:55" ht="13.5" customHeight="1">
      <c r="A126" s="8" t="s">
        <v>353</v>
      </c>
      <c r="B126" s="37">
        <v>41085</v>
      </c>
      <c r="C126" s="38" t="s">
        <v>6</v>
      </c>
      <c r="D126" s="38" t="s">
        <v>342</v>
      </c>
      <c r="E126" s="38"/>
      <c r="F126" s="38"/>
      <c r="G126" s="38" t="s">
        <v>343</v>
      </c>
      <c r="H126" s="38" t="s">
        <v>343</v>
      </c>
      <c r="I126" s="38" t="s">
        <v>349</v>
      </c>
      <c r="J126" s="8" t="s">
        <v>354</v>
      </c>
      <c r="K126" s="38" t="s">
        <v>60</v>
      </c>
      <c r="L126" s="39">
        <v>42460</v>
      </c>
      <c r="M126" s="28" t="s">
        <v>56</v>
      </c>
      <c r="N126" s="8" t="s">
        <v>103</v>
      </c>
      <c r="O126" s="42">
        <v>24998201.06</v>
      </c>
      <c r="P126" s="42">
        <v>449847.53</v>
      </c>
      <c r="Q126" s="42">
        <v>34000000</v>
      </c>
      <c r="R126" s="59">
        <v>0</v>
      </c>
      <c r="S126" s="62">
        <v>0</v>
      </c>
      <c r="T126" s="59">
        <v>0</v>
      </c>
      <c r="U126" s="59">
        <v>0</v>
      </c>
      <c r="V126" s="59">
        <v>0</v>
      </c>
      <c r="W126" s="61">
        <v>0</v>
      </c>
      <c r="X126" s="59">
        <v>0</v>
      </c>
      <c r="Y126" s="59">
        <v>0</v>
      </c>
      <c r="Z126" s="59">
        <v>0</v>
      </c>
      <c r="AA126" s="86">
        <v>0</v>
      </c>
      <c r="AB126" s="61">
        <v>0</v>
      </c>
      <c r="AC126" s="61">
        <v>0</v>
      </c>
      <c r="AD126" s="59">
        <v>0</v>
      </c>
      <c r="AE126" s="37">
        <v>41061</v>
      </c>
      <c r="AF126" s="37">
        <v>42552</v>
      </c>
      <c r="AG126" s="37"/>
      <c r="AH126" s="37"/>
      <c r="AI126" s="37"/>
      <c r="AJ126" s="37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</row>
    <row r="127" spans="1:55" ht="13.5" customHeight="1">
      <c r="A127" s="8" t="s">
        <v>355</v>
      </c>
      <c r="B127" s="37">
        <v>41968</v>
      </c>
      <c r="C127" s="38" t="s">
        <v>6</v>
      </c>
      <c r="D127" s="38" t="s">
        <v>342</v>
      </c>
      <c r="E127" s="38"/>
      <c r="F127" s="38"/>
      <c r="G127" s="38" t="s">
        <v>343</v>
      </c>
      <c r="H127" s="38" t="s">
        <v>343</v>
      </c>
      <c r="I127" s="38" t="s">
        <v>349</v>
      </c>
      <c r="J127" s="8" t="s">
        <v>356</v>
      </c>
      <c r="K127" s="38" t="s">
        <v>60</v>
      </c>
      <c r="L127" s="39">
        <v>42460</v>
      </c>
      <c r="M127" s="28" t="s">
        <v>56</v>
      </c>
      <c r="N127" s="8" t="s">
        <v>103</v>
      </c>
      <c r="O127" s="59">
        <v>0</v>
      </c>
      <c r="P127" s="59">
        <v>0</v>
      </c>
      <c r="Q127" s="42">
        <v>1575000</v>
      </c>
      <c r="R127" s="59">
        <v>0</v>
      </c>
      <c r="S127" s="62">
        <v>0</v>
      </c>
      <c r="T127" s="59">
        <v>0</v>
      </c>
      <c r="U127" s="59">
        <v>0</v>
      </c>
      <c r="V127" s="59">
        <v>0</v>
      </c>
      <c r="W127" s="61">
        <v>0</v>
      </c>
      <c r="X127" s="59">
        <v>0</v>
      </c>
      <c r="Y127" s="59">
        <v>0</v>
      </c>
      <c r="Z127" s="59">
        <v>0</v>
      </c>
      <c r="AA127" s="86">
        <v>0</v>
      </c>
      <c r="AB127" s="61">
        <v>0</v>
      </c>
      <c r="AC127" s="61">
        <v>0</v>
      </c>
      <c r="AD127" s="59">
        <v>0</v>
      </c>
      <c r="AE127" s="37">
        <v>41967</v>
      </c>
      <c r="AF127" s="37">
        <v>41975</v>
      </c>
      <c r="AG127" s="37"/>
      <c r="AH127" s="37"/>
      <c r="AI127" s="37"/>
      <c r="AJ127" s="37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</row>
    <row r="128" spans="1:55" ht="13.5" customHeight="1">
      <c r="A128" s="36" t="s">
        <v>357</v>
      </c>
      <c r="B128" s="37">
        <v>40905</v>
      </c>
      <c r="C128" s="38" t="s">
        <v>6</v>
      </c>
      <c r="D128" s="36" t="s">
        <v>342</v>
      </c>
      <c r="E128" s="36">
        <v>40.923586111111106</v>
      </c>
      <c r="F128" s="36">
        <v>9.519297222222223</v>
      </c>
      <c r="G128" s="36" t="s">
        <v>358</v>
      </c>
      <c r="H128" s="36" t="s">
        <v>358</v>
      </c>
      <c r="I128" s="36" t="s">
        <v>359</v>
      </c>
      <c r="J128" s="38" t="s">
        <v>360</v>
      </c>
      <c r="K128" s="38" t="s">
        <v>60</v>
      </c>
      <c r="L128" s="39">
        <v>42093</v>
      </c>
      <c r="M128" s="60" t="s">
        <v>72</v>
      </c>
      <c r="N128" s="40" t="s">
        <v>93</v>
      </c>
      <c r="O128" s="42">
        <v>895899.2</v>
      </c>
      <c r="P128" s="42">
        <v>28592.37</v>
      </c>
      <c r="Q128" s="42">
        <v>1276467.7</v>
      </c>
      <c r="R128" s="42">
        <v>0</v>
      </c>
      <c r="S128" s="43">
        <v>180</v>
      </c>
      <c r="T128" s="42">
        <v>0</v>
      </c>
      <c r="U128" s="42">
        <v>0</v>
      </c>
      <c r="V128" s="42">
        <f>U128+T128</f>
        <v>0</v>
      </c>
      <c r="W128" s="44">
        <v>60</v>
      </c>
      <c r="X128" s="42">
        <f>O128+T128</f>
        <v>895899.2</v>
      </c>
      <c r="Y128" s="42">
        <f>SUM(P128+U128)</f>
        <v>28592.37</v>
      </c>
      <c r="Z128" s="42">
        <v>265359</v>
      </c>
      <c r="AA128" s="43">
        <f>S128+W128</f>
        <v>240</v>
      </c>
      <c r="AB128" s="61">
        <v>0</v>
      </c>
      <c r="AC128" s="63">
        <v>0</v>
      </c>
      <c r="AD128" s="59">
        <v>0</v>
      </c>
      <c r="AE128" s="37">
        <v>40505</v>
      </c>
      <c r="AF128" s="37">
        <v>40687</v>
      </c>
      <c r="AG128" s="37">
        <v>42250</v>
      </c>
      <c r="AH128" s="37">
        <v>42551</v>
      </c>
      <c r="AI128" s="37"/>
      <c r="AJ128" s="37"/>
      <c r="AK128" s="47"/>
      <c r="AL128" s="47">
        <f>_xlfn.IFERROR(Z128/O128*100,0)</f>
        <v>29.619291991777647</v>
      </c>
      <c r="AM128" s="47">
        <f>_xlfn.IFERROR(AC128/S128*100,0)</f>
        <v>0</v>
      </c>
      <c r="AN128" s="47">
        <f>_xlfn.IFERROR(V128/X128*100,0)</f>
        <v>0</v>
      </c>
      <c r="AO128" s="47">
        <f>_xlfn.IFERROR(W128/AA128*100,0)</f>
        <v>25</v>
      </c>
      <c r="AP128" s="47">
        <f>_xlfn.IFERROR(((W128+AB128)/AA128)*100,0)</f>
        <v>25</v>
      </c>
      <c r="AQ128" s="47">
        <f>_xlfn.IFERROR((AD128/O128)*100,0)</f>
        <v>0</v>
      </c>
      <c r="AR128" s="48">
        <f>_xlfn.IFERROR((Q128/O128)*100,0)</f>
        <v>142.47894182738418</v>
      </c>
      <c r="AS128" s="35" t="s">
        <v>74</v>
      </c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</row>
    <row r="129" spans="1:55" ht="13.5" customHeight="1">
      <c r="A129" s="8" t="s">
        <v>357</v>
      </c>
      <c r="B129" s="37">
        <v>40905</v>
      </c>
      <c r="C129" s="38" t="s">
        <v>6</v>
      </c>
      <c r="D129" s="38" t="s">
        <v>342</v>
      </c>
      <c r="E129" s="38"/>
      <c r="F129" s="38"/>
      <c r="G129" s="36" t="s">
        <v>358</v>
      </c>
      <c r="H129" s="36" t="s">
        <v>358</v>
      </c>
      <c r="I129" s="36" t="s">
        <v>359</v>
      </c>
      <c r="J129" s="38" t="s">
        <v>361</v>
      </c>
      <c r="K129" s="38" t="s">
        <v>60</v>
      </c>
      <c r="L129" s="39">
        <v>42093</v>
      </c>
      <c r="M129" s="28" t="s">
        <v>56</v>
      </c>
      <c r="N129" s="8" t="s">
        <v>103</v>
      </c>
      <c r="O129" s="59">
        <v>0</v>
      </c>
      <c r="P129" s="42">
        <v>183025.81</v>
      </c>
      <c r="Q129" s="42">
        <v>5261675.06</v>
      </c>
      <c r="R129" s="59">
        <v>0</v>
      </c>
      <c r="S129" s="62">
        <v>0</v>
      </c>
      <c r="T129" s="59">
        <v>0</v>
      </c>
      <c r="U129" s="59">
        <v>0</v>
      </c>
      <c r="V129" s="59">
        <v>0</v>
      </c>
      <c r="W129" s="61">
        <v>0</v>
      </c>
      <c r="X129" s="59">
        <v>0</v>
      </c>
      <c r="Y129" s="59">
        <v>0</v>
      </c>
      <c r="Z129" s="59">
        <v>0</v>
      </c>
      <c r="AA129" s="86">
        <v>0</v>
      </c>
      <c r="AB129" s="61">
        <v>0</v>
      </c>
      <c r="AC129" s="61">
        <v>0</v>
      </c>
      <c r="AD129" s="59">
        <v>0</v>
      </c>
      <c r="AE129" s="37">
        <v>40830</v>
      </c>
      <c r="AF129" s="37"/>
      <c r="AG129" s="37"/>
      <c r="AH129" s="37"/>
      <c r="AI129" s="37"/>
      <c r="AJ129" s="37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</row>
    <row r="130" spans="1:55" ht="13.5" customHeight="1">
      <c r="A130" s="8" t="s">
        <v>362</v>
      </c>
      <c r="B130" s="37">
        <v>41834</v>
      </c>
      <c r="C130" s="38" t="s">
        <v>6</v>
      </c>
      <c r="D130" s="38" t="s">
        <v>342</v>
      </c>
      <c r="E130" s="38"/>
      <c r="F130" s="38"/>
      <c r="G130" s="36" t="s">
        <v>358</v>
      </c>
      <c r="H130" s="36" t="s">
        <v>358</v>
      </c>
      <c r="I130" s="36" t="s">
        <v>359</v>
      </c>
      <c r="J130" s="38" t="s">
        <v>363</v>
      </c>
      <c r="K130" s="38" t="s">
        <v>60</v>
      </c>
      <c r="L130" s="39">
        <v>42093</v>
      </c>
      <c r="M130" s="28" t="s">
        <v>56</v>
      </c>
      <c r="N130" s="8" t="s">
        <v>103</v>
      </c>
      <c r="O130" s="59">
        <v>0</v>
      </c>
      <c r="P130" s="42">
        <v>1250000</v>
      </c>
      <c r="Q130" s="42">
        <v>1250000</v>
      </c>
      <c r="R130" s="59">
        <v>0</v>
      </c>
      <c r="S130" s="62">
        <v>0</v>
      </c>
      <c r="T130" s="59">
        <v>0</v>
      </c>
      <c r="U130" s="59">
        <v>0</v>
      </c>
      <c r="V130" s="59">
        <v>0</v>
      </c>
      <c r="W130" s="61">
        <v>0</v>
      </c>
      <c r="X130" s="59">
        <v>0</v>
      </c>
      <c r="Y130" s="59">
        <v>0</v>
      </c>
      <c r="Z130" s="59">
        <v>0</v>
      </c>
      <c r="AA130" s="86">
        <v>0</v>
      </c>
      <c r="AB130" s="61">
        <v>0</v>
      </c>
      <c r="AC130" s="61">
        <v>0</v>
      </c>
      <c r="AD130" s="59">
        <v>0</v>
      </c>
      <c r="AE130" s="37">
        <v>41816</v>
      </c>
      <c r="AF130" s="37"/>
      <c r="AG130" s="37"/>
      <c r="AH130" s="37"/>
      <c r="AI130" s="37"/>
      <c r="AJ130" s="37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</row>
    <row r="131" spans="1:55" ht="13.5" customHeight="1">
      <c r="A131" s="8" t="s">
        <v>364</v>
      </c>
      <c r="B131" s="37">
        <v>40779</v>
      </c>
      <c r="C131" s="38" t="s">
        <v>6</v>
      </c>
      <c r="D131" s="36" t="s">
        <v>342</v>
      </c>
      <c r="E131" s="36">
        <v>40.995075</v>
      </c>
      <c r="F131" s="36">
        <v>9.622602777777779</v>
      </c>
      <c r="G131" s="8" t="s">
        <v>365</v>
      </c>
      <c r="H131" s="8" t="s">
        <v>365</v>
      </c>
      <c r="I131" s="8" t="s">
        <v>366</v>
      </c>
      <c r="J131" s="8" t="s">
        <v>367</v>
      </c>
      <c r="K131" s="8" t="s">
        <v>368</v>
      </c>
      <c r="L131" s="39">
        <v>42460</v>
      </c>
      <c r="M131" s="60" t="s">
        <v>72</v>
      </c>
      <c r="N131" s="8" t="s">
        <v>93</v>
      </c>
      <c r="O131" s="41">
        <v>844756.75</v>
      </c>
      <c r="P131" s="41">
        <v>30396.74</v>
      </c>
      <c r="Q131" s="41">
        <v>1100000</v>
      </c>
      <c r="R131" s="41">
        <v>0</v>
      </c>
      <c r="S131" s="55">
        <v>210</v>
      </c>
      <c r="T131" s="41">
        <v>40579.82</v>
      </c>
      <c r="U131" s="41">
        <v>0</v>
      </c>
      <c r="V131" s="41">
        <v>40579.82</v>
      </c>
      <c r="W131" s="44">
        <v>0</v>
      </c>
      <c r="X131" s="41">
        <v>885336.57</v>
      </c>
      <c r="Y131" s="41">
        <v>30396.74</v>
      </c>
      <c r="Z131" s="41">
        <v>245585.54</v>
      </c>
      <c r="AA131" s="55">
        <v>210</v>
      </c>
      <c r="AB131" s="44">
        <v>0</v>
      </c>
      <c r="AC131" s="44">
        <v>141</v>
      </c>
      <c r="AD131" s="41">
        <v>130000</v>
      </c>
      <c r="AE131" s="37"/>
      <c r="AF131" s="37"/>
      <c r="AG131" s="37">
        <v>42319</v>
      </c>
      <c r="AH131" s="37">
        <f>AG131+210</f>
        <v>42529</v>
      </c>
      <c r="AI131" s="37">
        <v>42551</v>
      </c>
      <c r="AJ131" s="37"/>
      <c r="AK131" s="26"/>
      <c r="AL131" s="47">
        <f>_xlfn.IFERROR(Z131/O131*100,0)</f>
        <v>29.07174639326647</v>
      </c>
      <c r="AM131" s="47">
        <f>_xlfn.IFERROR(AC131/S131*100,0)</f>
        <v>67.14285714285714</v>
      </c>
      <c r="AN131" s="47">
        <f>_xlfn.IFERROR(V131/X131*100,0)</f>
        <v>4.5835472491552</v>
      </c>
      <c r="AO131" s="47">
        <f>_xlfn.IFERROR(W131/AA131*100,0)</f>
        <v>0</v>
      </c>
      <c r="AP131" s="47">
        <f>_xlfn.IFERROR(((W131+AB131)/AA131)*100,0)</f>
        <v>0</v>
      </c>
      <c r="AQ131" s="47">
        <f>_xlfn.IFERROR((AD131/O131)*100,0)</f>
        <v>15.389045426390496</v>
      </c>
      <c r="AR131" s="48">
        <f>_xlfn.IFERROR((Q131/O131)*100,0)</f>
        <v>130.21499976176574</v>
      </c>
      <c r="AS131" s="35" t="s">
        <v>74</v>
      </c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</row>
    <row r="132" spans="1:55" ht="13.5" customHeight="1">
      <c r="A132" s="8" t="s">
        <v>369</v>
      </c>
      <c r="B132" s="37">
        <v>39171</v>
      </c>
      <c r="C132" s="8" t="s">
        <v>370</v>
      </c>
      <c r="D132" s="8" t="s">
        <v>371</v>
      </c>
      <c r="E132" s="36">
        <v>44.31015277777777</v>
      </c>
      <c r="F132" s="36">
        <v>8.490463888888888</v>
      </c>
      <c r="G132" s="8" t="s">
        <v>371</v>
      </c>
      <c r="H132" s="8" t="s">
        <v>372</v>
      </c>
      <c r="I132" s="8" t="s">
        <v>371</v>
      </c>
      <c r="J132" s="38" t="s">
        <v>373</v>
      </c>
      <c r="K132" s="38">
        <v>1</v>
      </c>
      <c r="L132" s="39">
        <v>42459</v>
      </c>
      <c r="M132" s="60" t="s">
        <v>72</v>
      </c>
      <c r="N132" s="8" t="s">
        <v>73</v>
      </c>
      <c r="O132" s="41">
        <v>344708100.71</v>
      </c>
      <c r="P132" s="41">
        <v>5291899.29</v>
      </c>
      <c r="Q132" s="41">
        <v>300000000</v>
      </c>
      <c r="R132" s="41">
        <v>50000000</v>
      </c>
      <c r="S132" s="43">
        <f>46*30</f>
        <v>1380</v>
      </c>
      <c r="T132" s="59">
        <v>0</v>
      </c>
      <c r="U132" s="59">
        <v>0</v>
      </c>
      <c r="V132" s="59">
        <v>0</v>
      </c>
      <c r="W132" s="61">
        <v>0</v>
      </c>
      <c r="X132" s="42">
        <v>334673214.16</v>
      </c>
      <c r="Y132" s="42">
        <f>P132</f>
        <v>5291899.29</v>
      </c>
      <c r="Z132" s="42">
        <v>61277263.95</v>
      </c>
      <c r="AA132" s="43">
        <f>S132</f>
        <v>1380</v>
      </c>
      <c r="AB132" s="61">
        <v>0</v>
      </c>
      <c r="AC132" s="61">
        <v>0</v>
      </c>
      <c r="AD132" s="42">
        <v>12754616</v>
      </c>
      <c r="AE132" s="87">
        <v>39499</v>
      </c>
      <c r="AF132" s="67">
        <v>42064</v>
      </c>
      <c r="AG132" s="37">
        <v>41166</v>
      </c>
      <c r="AH132" s="37">
        <v>43551</v>
      </c>
      <c r="AI132" s="37"/>
      <c r="AJ132" s="37"/>
      <c r="AK132" s="26"/>
      <c r="AL132" s="47">
        <f>_xlfn.IFERROR(Z132/O132*100,0)</f>
        <v>17.77656626687519</v>
      </c>
      <c r="AM132" s="47">
        <f>_xlfn.IFERROR(AC132/S132*100,0)</f>
        <v>0</v>
      </c>
      <c r="AN132" s="47">
        <f>_xlfn.IFERROR(V132/X132*100,0)</f>
        <v>0</v>
      </c>
      <c r="AO132" s="47">
        <f>_xlfn.IFERROR(W132/AA132*100,0)</f>
        <v>0</v>
      </c>
      <c r="AP132" s="47">
        <f>_xlfn.IFERROR(((W132+AB132)/AA132)*100,0)</f>
        <v>0</v>
      </c>
      <c r="AQ132" s="47">
        <f>_xlfn.IFERROR((AD132/O132)*100,0)</f>
        <v>3.700120761226424</v>
      </c>
      <c r="AR132" s="48">
        <f>_xlfn.IFERROR((Q132/O132)*100,0)</f>
        <v>87.03015664038237</v>
      </c>
      <c r="AS132" s="35" t="s">
        <v>74</v>
      </c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</row>
    <row r="133" spans="1:55" ht="13.5" customHeight="1">
      <c r="A133" s="8" t="s">
        <v>374</v>
      </c>
      <c r="B133" s="37">
        <v>40456</v>
      </c>
      <c r="C133" s="8" t="s">
        <v>370</v>
      </c>
      <c r="D133" s="8" t="s">
        <v>371</v>
      </c>
      <c r="E133" s="8"/>
      <c r="F133" s="8"/>
      <c r="G133" s="8" t="s">
        <v>371</v>
      </c>
      <c r="H133" s="8" t="s">
        <v>371</v>
      </c>
      <c r="I133" s="8" t="s">
        <v>371</v>
      </c>
      <c r="J133" s="38" t="s">
        <v>375</v>
      </c>
      <c r="K133" s="38">
        <v>1</v>
      </c>
      <c r="L133" s="39">
        <v>42459</v>
      </c>
      <c r="M133" s="13" t="s">
        <v>49</v>
      </c>
      <c r="N133" s="8" t="s">
        <v>376</v>
      </c>
      <c r="O133" s="41">
        <f>743330.5+386237.47</f>
        <v>1129567.97</v>
      </c>
      <c r="P133" s="41">
        <f>27700+63761.07</f>
        <v>91461.07</v>
      </c>
      <c r="Q133" s="41" t="s">
        <v>377</v>
      </c>
      <c r="R133" s="41">
        <v>0</v>
      </c>
      <c r="S133" s="43">
        <f>180+90</f>
        <v>270</v>
      </c>
      <c r="T133" s="41">
        <f>243831.96+161878.85</f>
        <v>405710.81</v>
      </c>
      <c r="U133" s="41">
        <f>9837.54+28500</f>
        <v>38337.54</v>
      </c>
      <c r="V133" s="41">
        <f>T133+U133</f>
        <v>444048.35</v>
      </c>
      <c r="W133" s="44">
        <f>70+197</f>
        <v>267</v>
      </c>
      <c r="X133" s="42">
        <f>O133+V133</f>
        <v>1573616.3199999998</v>
      </c>
      <c r="Y133" s="42">
        <f>P133+U133</f>
        <v>129798.61000000002</v>
      </c>
      <c r="Z133" s="42">
        <f>997000+548997.24</f>
        <v>1545997.24</v>
      </c>
      <c r="AA133" s="43">
        <f>S133+W133</f>
        <v>537</v>
      </c>
      <c r="AB133" s="44">
        <f>85+77</f>
        <v>162</v>
      </c>
      <c r="AC133" s="61">
        <v>0</v>
      </c>
      <c r="AD133" s="42">
        <v>76125</v>
      </c>
      <c r="AE133" s="9">
        <v>40299</v>
      </c>
      <c r="AF133" s="67">
        <v>41883</v>
      </c>
      <c r="AG133" s="58">
        <v>40664</v>
      </c>
      <c r="AH133" s="88"/>
      <c r="AI133" s="60"/>
      <c r="AJ133" s="60"/>
      <c r="AK133" s="23"/>
      <c r="AL133" s="23">
        <f>_xlfn.IFERROR(Z133/O133*100,0)</f>
        <v>136.86624276359393</v>
      </c>
      <c r="AM133" s="23">
        <f>_xlfn.IFERROR(AC133/S133*100,0)</f>
        <v>0</v>
      </c>
      <c r="AN133" s="23">
        <f>_xlfn.IFERROR(V133/X133*100,0)</f>
        <v>28.21833660189798</v>
      </c>
      <c r="AO133" s="23">
        <f>_xlfn.IFERROR(W133/AA133*100,0)</f>
        <v>49.72067039106145</v>
      </c>
      <c r="AP133" s="23">
        <f>_xlfn.IFERROR(((W133+AB133)/AA133)*100,0)</f>
        <v>79.88826815642457</v>
      </c>
      <c r="AQ133" s="23">
        <f>_xlfn.IFERROR((AD133/O133)*100,0)</f>
        <v>6.7393022838634495</v>
      </c>
      <c r="AR133" s="24">
        <f>_xlfn.IFERROR((Q133/O133)*100,0)</f>
        <v>0</v>
      </c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</row>
    <row r="134" spans="1:55" ht="13.5" customHeight="1">
      <c r="A134" s="8" t="s">
        <v>378</v>
      </c>
      <c r="B134" s="37">
        <v>40689</v>
      </c>
      <c r="C134" s="8" t="s">
        <v>370</v>
      </c>
      <c r="D134" s="8" t="s">
        <v>371</v>
      </c>
      <c r="E134" s="36">
        <v>44.31015277777777</v>
      </c>
      <c r="F134" s="36">
        <v>8.490463888888888</v>
      </c>
      <c r="G134" s="8" t="s">
        <v>371</v>
      </c>
      <c r="H134" s="8" t="s">
        <v>372</v>
      </c>
      <c r="I134" s="8" t="s">
        <v>371</v>
      </c>
      <c r="J134" s="38" t="s">
        <v>379</v>
      </c>
      <c r="K134" s="38">
        <v>1</v>
      </c>
      <c r="L134" s="39">
        <v>42459</v>
      </c>
      <c r="M134" s="60" t="s">
        <v>72</v>
      </c>
      <c r="N134" s="8" t="s">
        <v>73</v>
      </c>
      <c r="O134" s="41">
        <v>17916262.37</v>
      </c>
      <c r="P134" s="41">
        <v>985579.8</v>
      </c>
      <c r="Q134" s="41">
        <v>24000000</v>
      </c>
      <c r="R134" s="41">
        <v>0</v>
      </c>
      <c r="S134" s="43">
        <f>50*30</f>
        <v>1500</v>
      </c>
      <c r="T134" s="41">
        <v>1612483.41</v>
      </c>
      <c r="U134" s="41">
        <v>35474.5</v>
      </c>
      <c r="V134" s="41">
        <f>T134+U134</f>
        <v>1647957.91</v>
      </c>
      <c r="W134" s="61">
        <v>0</v>
      </c>
      <c r="X134" s="41">
        <f>O134+V134</f>
        <v>19564220.28</v>
      </c>
      <c r="Y134" s="41">
        <f>P134+U134</f>
        <v>1021054.3</v>
      </c>
      <c r="Z134" s="59">
        <v>0</v>
      </c>
      <c r="AA134" s="43">
        <v>1400</v>
      </c>
      <c r="AB134" s="61">
        <v>0</v>
      </c>
      <c r="AC134" s="61">
        <v>0</v>
      </c>
      <c r="AD134" s="42">
        <v>924208.93</v>
      </c>
      <c r="AE134" s="70">
        <v>41624</v>
      </c>
      <c r="AF134" s="70">
        <v>42123</v>
      </c>
      <c r="AG134" s="37">
        <v>42186</v>
      </c>
      <c r="AH134" s="37">
        <v>43586</v>
      </c>
      <c r="AI134" s="37"/>
      <c r="AJ134" s="37"/>
      <c r="AK134" s="26"/>
      <c r="AL134" s="47">
        <f>_xlfn.IFERROR(Z134/O134*100,0)</f>
        <v>0</v>
      </c>
      <c r="AM134" s="47">
        <f>_xlfn.IFERROR(AC134/S134*100,0)</f>
        <v>0</v>
      </c>
      <c r="AN134" s="47">
        <f>_xlfn.IFERROR(V134/X134*100,0)</f>
        <v>8.423325266300875</v>
      </c>
      <c r="AO134" s="47">
        <f>_xlfn.IFERROR(W134/AA134*100,0)</f>
        <v>0</v>
      </c>
      <c r="AP134" s="47">
        <f>_xlfn.IFERROR(((W134+AB134)/AA134)*100,0)</f>
        <v>0</v>
      </c>
      <c r="AQ134" s="47">
        <f>_xlfn.IFERROR((AD134/O134)*100,0)</f>
        <v>5.158491826663286</v>
      </c>
      <c r="AR134" s="48">
        <f>_xlfn.IFERROR((Q134/O134)*100,0)</f>
        <v>133.95651115372675</v>
      </c>
      <c r="AS134" s="35" t="s">
        <v>74</v>
      </c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</row>
    <row r="135" spans="1:55" ht="13.5" customHeight="1">
      <c r="A135" s="8" t="s">
        <v>380</v>
      </c>
      <c r="B135" s="37">
        <v>41878</v>
      </c>
      <c r="C135" s="8" t="s">
        <v>370</v>
      </c>
      <c r="D135" s="8" t="s">
        <v>371</v>
      </c>
      <c r="E135" s="8"/>
      <c r="F135" s="8"/>
      <c r="G135" s="8" t="s">
        <v>371</v>
      </c>
      <c r="H135" s="8" t="s">
        <v>371</v>
      </c>
      <c r="I135" s="8" t="s">
        <v>371</v>
      </c>
      <c r="J135" s="38" t="s">
        <v>381</v>
      </c>
      <c r="K135" s="38">
        <v>1</v>
      </c>
      <c r="L135" s="39">
        <v>42459</v>
      </c>
      <c r="M135" s="28" t="s">
        <v>56</v>
      </c>
      <c r="N135" s="8" t="s">
        <v>67</v>
      </c>
      <c r="O135" s="41">
        <v>0</v>
      </c>
      <c r="P135" s="41">
        <v>0</v>
      </c>
      <c r="Q135" s="45">
        <v>7500000</v>
      </c>
      <c r="R135" s="41">
        <v>0</v>
      </c>
      <c r="S135" s="62">
        <v>0</v>
      </c>
      <c r="T135" s="59">
        <v>0</v>
      </c>
      <c r="U135" s="59">
        <v>0</v>
      </c>
      <c r="V135" s="59">
        <v>0</v>
      </c>
      <c r="W135" s="61">
        <v>0</v>
      </c>
      <c r="X135" s="59">
        <v>0</v>
      </c>
      <c r="Y135" s="59">
        <v>0</v>
      </c>
      <c r="Z135" s="89">
        <v>0</v>
      </c>
      <c r="AA135" s="62">
        <v>0</v>
      </c>
      <c r="AB135" s="61">
        <v>0</v>
      </c>
      <c r="AC135" s="61">
        <v>0</v>
      </c>
      <c r="AD135" s="59">
        <v>0</v>
      </c>
      <c r="AE135" s="37"/>
      <c r="AF135" s="37"/>
      <c r="AG135" s="37"/>
      <c r="AH135" s="37"/>
      <c r="AI135" s="37"/>
      <c r="AJ135" s="37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</row>
    <row r="136" spans="1:55" ht="13.5" customHeight="1">
      <c r="A136" s="8" t="s">
        <v>382</v>
      </c>
      <c r="B136" s="37">
        <v>41855</v>
      </c>
      <c r="C136" s="8" t="s">
        <v>370</v>
      </c>
      <c r="D136" s="8" t="s">
        <v>371</v>
      </c>
      <c r="E136" s="36">
        <v>44.31015277777777</v>
      </c>
      <c r="F136" s="36">
        <v>8.490463888888888</v>
      </c>
      <c r="G136" s="8" t="s">
        <v>371</v>
      </c>
      <c r="H136" s="8" t="s">
        <v>371</v>
      </c>
      <c r="I136" s="8" t="s">
        <v>371</v>
      </c>
      <c r="J136" s="38" t="s">
        <v>383</v>
      </c>
      <c r="K136" s="38">
        <v>1</v>
      </c>
      <c r="L136" s="39">
        <v>42459</v>
      </c>
      <c r="M136" s="60" t="s">
        <v>72</v>
      </c>
      <c r="N136" s="8" t="s">
        <v>73</v>
      </c>
      <c r="O136" s="41">
        <v>1012329.75</v>
      </c>
      <c r="P136" s="41">
        <v>25934</v>
      </c>
      <c r="Q136" s="45">
        <v>1400000</v>
      </c>
      <c r="R136" s="41">
        <v>0</v>
      </c>
      <c r="S136" s="43">
        <f>24*30</f>
        <v>720</v>
      </c>
      <c r="T136" s="59">
        <v>0</v>
      </c>
      <c r="U136" s="41">
        <v>0</v>
      </c>
      <c r="V136" s="41">
        <v>0</v>
      </c>
      <c r="W136" s="61">
        <v>0</v>
      </c>
      <c r="X136" s="59">
        <v>0</v>
      </c>
      <c r="Y136" s="59">
        <v>0</v>
      </c>
      <c r="Z136" s="90">
        <v>0</v>
      </c>
      <c r="AA136" s="43">
        <v>720</v>
      </c>
      <c r="AB136" s="61">
        <v>0</v>
      </c>
      <c r="AC136" s="61">
        <v>0</v>
      </c>
      <c r="AD136" s="59">
        <v>0</v>
      </c>
      <c r="AE136" s="37">
        <v>41400</v>
      </c>
      <c r="AF136" s="37">
        <v>41614</v>
      </c>
      <c r="AG136" s="37">
        <v>41879</v>
      </c>
      <c r="AH136" s="37">
        <v>42609</v>
      </c>
      <c r="AI136" s="37"/>
      <c r="AJ136" s="37"/>
      <c r="AK136" s="26"/>
      <c r="AL136" s="47">
        <f>_xlfn.IFERROR(Z136/O136*100,0)</f>
        <v>0</v>
      </c>
      <c r="AM136" s="47">
        <f>_xlfn.IFERROR(AC136/S136*100,0)</f>
        <v>0</v>
      </c>
      <c r="AN136" s="47">
        <f>_xlfn.IFERROR(V136/X136*100,0)</f>
        <v>0</v>
      </c>
      <c r="AO136" s="47">
        <f>_xlfn.IFERROR(W136/AA136*100,0)</f>
        <v>0</v>
      </c>
      <c r="AP136" s="47">
        <f>_xlfn.IFERROR(((W136+AB136)/AA136)*100,0)</f>
        <v>0</v>
      </c>
      <c r="AQ136" s="47">
        <f>_xlfn.IFERROR((AD136/O136)*100,0)</f>
        <v>0</v>
      </c>
      <c r="AR136" s="48">
        <f>_xlfn.IFERROR((Q136/O136)*100,0)</f>
        <v>138.29485896270458</v>
      </c>
      <c r="AS136" s="35" t="s">
        <v>74</v>
      </c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</row>
    <row r="137" spans="1:55" ht="13.5" customHeight="1">
      <c r="A137" s="8" t="s">
        <v>384</v>
      </c>
      <c r="B137" s="37">
        <v>41799</v>
      </c>
      <c r="C137" s="8" t="s">
        <v>370</v>
      </c>
      <c r="D137" s="8" t="s">
        <v>371</v>
      </c>
      <c r="E137" s="8"/>
      <c r="F137" s="8"/>
      <c r="G137" s="8" t="s">
        <v>371</v>
      </c>
      <c r="H137" s="8" t="s">
        <v>372</v>
      </c>
      <c r="I137" s="8" t="s">
        <v>371</v>
      </c>
      <c r="J137" s="38" t="s">
        <v>385</v>
      </c>
      <c r="K137" s="38">
        <v>1</v>
      </c>
      <c r="L137" s="39">
        <v>42459</v>
      </c>
      <c r="M137" s="28" t="s">
        <v>56</v>
      </c>
      <c r="N137" s="8" t="s">
        <v>67</v>
      </c>
      <c r="O137" s="41">
        <v>0</v>
      </c>
      <c r="P137" s="41">
        <v>0</v>
      </c>
      <c r="Q137" s="45">
        <v>13000000</v>
      </c>
      <c r="R137" s="41">
        <v>0</v>
      </c>
      <c r="S137" s="62">
        <v>0</v>
      </c>
      <c r="T137" s="59">
        <v>0</v>
      </c>
      <c r="U137" s="41">
        <v>0</v>
      </c>
      <c r="V137" s="41">
        <v>0</v>
      </c>
      <c r="W137" s="61">
        <v>0</v>
      </c>
      <c r="X137" s="59">
        <v>0</v>
      </c>
      <c r="Y137" s="59">
        <v>0</v>
      </c>
      <c r="Z137" s="59">
        <v>0</v>
      </c>
      <c r="AA137" s="62">
        <v>0</v>
      </c>
      <c r="AB137" s="61">
        <v>0</v>
      </c>
      <c r="AC137" s="61">
        <v>0</v>
      </c>
      <c r="AD137" s="59">
        <v>0</v>
      </c>
      <c r="AE137" s="37"/>
      <c r="AF137" s="37"/>
      <c r="AG137" s="37"/>
      <c r="AH137" s="37"/>
      <c r="AI137" s="37"/>
      <c r="AJ137" s="37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</row>
    <row r="138" spans="1:55" ht="13.5" customHeight="1">
      <c r="A138" s="8" t="s">
        <v>386</v>
      </c>
      <c r="B138" s="37">
        <v>41786</v>
      </c>
      <c r="C138" s="8" t="s">
        <v>370</v>
      </c>
      <c r="D138" s="8" t="s">
        <v>371</v>
      </c>
      <c r="E138" s="8"/>
      <c r="F138" s="8"/>
      <c r="G138" s="8" t="s">
        <v>371</v>
      </c>
      <c r="H138" s="8" t="s">
        <v>372</v>
      </c>
      <c r="I138" s="8" t="s">
        <v>371</v>
      </c>
      <c r="J138" s="38" t="s">
        <v>387</v>
      </c>
      <c r="K138" s="38">
        <v>1</v>
      </c>
      <c r="L138" s="39">
        <v>42459</v>
      </c>
      <c r="M138" s="28" t="s">
        <v>56</v>
      </c>
      <c r="N138" s="8" t="s">
        <v>67</v>
      </c>
      <c r="O138" s="41">
        <v>0</v>
      </c>
      <c r="P138" s="41">
        <v>0</v>
      </c>
      <c r="Q138" s="41">
        <v>3000000</v>
      </c>
      <c r="R138" s="41">
        <v>0</v>
      </c>
      <c r="S138" s="62">
        <v>0</v>
      </c>
      <c r="T138" s="59">
        <v>0</v>
      </c>
      <c r="U138" s="41">
        <v>0</v>
      </c>
      <c r="V138" s="41">
        <v>0</v>
      </c>
      <c r="W138" s="61">
        <v>0</v>
      </c>
      <c r="X138" s="59">
        <v>0</v>
      </c>
      <c r="Y138" s="59">
        <v>0</v>
      </c>
      <c r="Z138" s="59">
        <v>0</v>
      </c>
      <c r="AA138" s="86">
        <v>0</v>
      </c>
      <c r="AB138" s="61">
        <v>0</v>
      </c>
      <c r="AC138" s="61">
        <v>0</v>
      </c>
      <c r="AD138" s="59">
        <v>0</v>
      </c>
      <c r="AE138" s="37"/>
      <c r="AF138" s="37"/>
      <c r="AG138" s="37"/>
      <c r="AH138" s="37"/>
      <c r="AI138" s="37"/>
      <c r="AJ138" s="37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</row>
    <row r="139" spans="1:55" ht="13.5" customHeight="1">
      <c r="A139" s="8" t="s">
        <v>388</v>
      </c>
      <c r="B139" s="37">
        <v>41786</v>
      </c>
      <c r="C139" s="8" t="s">
        <v>370</v>
      </c>
      <c r="D139" s="8" t="s">
        <v>371</v>
      </c>
      <c r="E139" s="8"/>
      <c r="F139" s="8"/>
      <c r="G139" s="8" t="s">
        <v>371</v>
      </c>
      <c r="H139" s="8" t="s">
        <v>372</v>
      </c>
      <c r="I139" s="8" t="s">
        <v>371</v>
      </c>
      <c r="J139" s="38" t="s">
        <v>389</v>
      </c>
      <c r="K139" s="38">
        <v>1</v>
      </c>
      <c r="L139" s="39">
        <v>42459</v>
      </c>
      <c r="M139" s="28" t="s">
        <v>56</v>
      </c>
      <c r="N139" s="8" t="s">
        <v>67</v>
      </c>
      <c r="O139" s="41">
        <v>0</v>
      </c>
      <c r="P139" s="41">
        <v>0</v>
      </c>
      <c r="Q139" s="45">
        <v>80000000</v>
      </c>
      <c r="R139" s="41">
        <v>0</v>
      </c>
      <c r="S139" s="62">
        <v>0</v>
      </c>
      <c r="T139" s="59">
        <v>0</v>
      </c>
      <c r="U139" s="59">
        <v>0</v>
      </c>
      <c r="V139" s="59">
        <v>0</v>
      </c>
      <c r="W139" s="61">
        <v>0</v>
      </c>
      <c r="X139" s="59">
        <v>0</v>
      </c>
      <c r="Y139" s="59">
        <v>0</v>
      </c>
      <c r="Z139" s="59">
        <v>0</v>
      </c>
      <c r="AA139" s="62">
        <v>0</v>
      </c>
      <c r="AB139" s="61">
        <v>0</v>
      </c>
      <c r="AC139" s="61">
        <v>0</v>
      </c>
      <c r="AD139" s="59">
        <v>0</v>
      </c>
      <c r="AE139" s="37"/>
      <c r="AF139" s="37"/>
      <c r="AG139" s="37"/>
      <c r="AH139" s="37"/>
      <c r="AI139" s="37"/>
      <c r="AJ139" s="37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</row>
    <row r="140" spans="1:55" ht="13.5" customHeight="1">
      <c r="A140" s="8" t="s">
        <v>390</v>
      </c>
      <c r="B140" s="37">
        <v>42262</v>
      </c>
      <c r="C140" s="8" t="s">
        <v>370</v>
      </c>
      <c r="D140" s="8" t="s">
        <v>371</v>
      </c>
      <c r="E140" s="8"/>
      <c r="F140" s="8"/>
      <c r="G140" s="8" t="s">
        <v>371</v>
      </c>
      <c r="H140" s="8" t="s">
        <v>372</v>
      </c>
      <c r="I140" s="8" t="s">
        <v>371</v>
      </c>
      <c r="J140" s="38" t="s">
        <v>391</v>
      </c>
      <c r="K140" s="38">
        <v>1</v>
      </c>
      <c r="L140" s="39">
        <v>42459</v>
      </c>
      <c r="M140" s="28" t="s">
        <v>56</v>
      </c>
      <c r="N140" s="8" t="s">
        <v>67</v>
      </c>
      <c r="O140" s="41">
        <v>0</v>
      </c>
      <c r="P140" s="41">
        <v>0</v>
      </c>
      <c r="Q140" s="41">
        <v>9100000</v>
      </c>
      <c r="R140" s="41">
        <v>0</v>
      </c>
      <c r="S140" s="62">
        <v>0</v>
      </c>
      <c r="T140" s="59">
        <v>0</v>
      </c>
      <c r="U140" s="59">
        <v>0</v>
      </c>
      <c r="V140" s="59">
        <v>0</v>
      </c>
      <c r="W140" s="61">
        <v>0</v>
      </c>
      <c r="X140" s="59">
        <v>0</v>
      </c>
      <c r="Y140" s="59">
        <v>0</v>
      </c>
      <c r="Z140" s="59">
        <v>0</v>
      </c>
      <c r="AA140" s="62">
        <v>0</v>
      </c>
      <c r="AB140" s="61">
        <v>0</v>
      </c>
      <c r="AC140" s="61">
        <v>0</v>
      </c>
      <c r="AD140" s="59">
        <v>0</v>
      </c>
      <c r="AE140" s="37"/>
      <c r="AF140" s="37"/>
      <c r="AG140" s="37"/>
      <c r="AH140" s="37"/>
      <c r="AI140" s="37"/>
      <c r="AJ140" s="37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</row>
    <row r="141" spans="1:55" ht="13.5" customHeight="1">
      <c r="A141" s="8" t="s">
        <v>392</v>
      </c>
      <c r="B141" s="37">
        <v>42212</v>
      </c>
      <c r="C141" s="8" t="s">
        <v>370</v>
      </c>
      <c r="D141" s="8" t="s">
        <v>371</v>
      </c>
      <c r="E141" s="8"/>
      <c r="F141" s="8"/>
      <c r="G141" s="8" t="s">
        <v>371</v>
      </c>
      <c r="H141" s="8" t="s">
        <v>371</v>
      </c>
      <c r="I141" s="8" t="s">
        <v>371</v>
      </c>
      <c r="J141" s="38" t="s">
        <v>393</v>
      </c>
      <c r="K141" s="38">
        <v>1</v>
      </c>
      <c r="L141" s="39">
        <v>42459</v>
      </c>
      <c r="M141" s="28" t="s">
        <v>56</v>
      </c>
      <c r="N141" s="8" t="s">
        <v>67</v>
      </c>
      <c r="O141" s="41">
        <v>0</v>
      </c>
      <c r="P141" s="41">
        <v>0</v>
      </c>
      <c r="Q141" s="41">
        <v>2100000</v>
      </c>
      <c r="R141" s="41">
        <v>0</v>
      </c>
      <c r="S141" s="62">
        <v>0</v>
      </c>
      <c r="T141" s="59">
        <v>0</v>
      </c>
      <c r="U141" s="59">
        <v>0</v>
      </c>
      <c r="V141" s="59">
        <v>0</v>
      </c>
      <c r="W141" s="61">
        <v>0</v>
      </c>
      <c r="X141" s="59">
        <v>0</v>
      </c>
      <c r="Y141" s="59">
        <v>0</v>
      </c>
      <c r="Z141" s="59">
        <v>0</v>
      </c>
      <c r="AA141" s="86">
        <v>0</v>
      </c>
      <c r="AB141" s="61">
        <v>0</v>
      </c>
      <c r="AC141" s="61">
        <v>0</v>
      </c>
      <c r="AD141" s="59">
        <v>0</v>
      </c>
      <c r="AE141" s="37"/>
      <c r="AF141" s="37"/>
      <c r="AG141" s="37"/>
      <c r="AH141" s="37"/>
      <c r="AI141" s="37"/>
      <c r="AJ141" s="37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</row>
    <row r="142" spans="1:55" ht="13.5" customHeight="1">
      <c r="A142" s="8" t="s">
        <v>394</v>
      </c>
      <c r="B142" s="37">
        <v>40450</v>
      </c>
      <c r="C142" s="38" t="s">
        <v>6</v>
      </c>
      <c r="D142" s="38" t="s">
        <v>395</v>
      </c>
      <c r="E142" s="36">
        <v>40.83977222222222</v>
      </c>
      <c r="F142" s="36">
        <v>14.276280555555557</v>
      </c>
      <c r="G142" s="38" t="s">
        <v>395</v>
      </c>
      <c r="H142" s="38" t="s">
        <v>395</v>
      </c>
      <c r="I142" s="38" t="s">
        <v>395</v>
      </c>
      <c r="J142" s="91" t="s">
        <v>396</v>
      </c>
      <c r="K142" s="8"/>
      <c r="L142" s="39">
        <v>42490</v>
      </c>
      <c r="M142" s="60" t="s">
        <v>72</v>
      </c>
      <c r="N142" s="8" t="s">
        <v>397</v>
      </c>
      <c r="O142" s="42">
        <v>85376070.93</v>
      </c>
      <c r="P142" s="42">
        <v>2498097.18</v>
      </c>
      <c r="Q142" s="42">
        <v>85376070.93</v>
      </c>
      <c r="R142" s="42">
        <v>0</v>
      </c>
      <c r="S142" s="43">
        <v>480</v>
      </c>
      <c r="T142" s="42">
        <v>29193489.610000003</v>
      </c>
      <c r="U142" s="42">
        <v>841107.44</v>
      </c>
      <c r="V142" s="42">
        <f>U142+T142</f>
        <v>30034597.050000004</v>
      </c>
      <c r="W142" s="44">
        <v>563</v>
      </c>
      <c r="X142" s="42">
        <f aca="true" t="shared" si="44" ref="X142:X147">O142+T142</f>
        <v>114569560.54</v>
      </c>
      <c r="Y142" s="42">
        <f>SUM(P142+U142)</f>
        <v>3339204.62</v>
      </c>
      <c r="Z142" s="42">
        <v>89755565.94</v>
      </c>
      <c r="AA142" s="43">
        <f aca="true" t="shared" si="45" ref="AA142:AA147">S142+W142</f>
        <v>1043</v>
      </c>
      <c r="AB142" s="44">
        <v>123</v>
      </c>
      <c r="AC142" s="46">
        <f>IF(N142="Progettazione",0,(L142-AG142-AB142))</f>
        <v>1259</v>
      </c>
      <c r="AD142" s="42">
        <v>13874086.61</v>
      </c>
      <c r="AE142" s="37">
        <v>37665</v>
      </c>
      <c r="AF142" s="37">
        <v>39647</v>
      </c>
      <c r="AG142" s="37">
        <v>41108</v>
      </c>
      <c r="AH142" s="37">
        <v>42736</v>
      </c>
      <c r="AI142" s="37">
        <f>AH142+180</f>
        <v>42916</v>
      </c>
      <c r="AJ142" s="37">
        <f>AI142+365</f>
        <v>43281</v>
      </c>
      <c r="AK142" s="47"/>
      <c r="AL142" s="47">
        <f aca="true" t="shared" si="46" ref="AL142:AL154">_xlfn.IFERROR(Z142/O142*100,0)</f>
        <v>105.1296516252086</v>
      </c>
      <c r="AM142" s="47">
        <f>_xlfn.IFERROR(AC142/S142*100,0)</f>
        <v>262.2916666666667</v>
      </c>
      <c r="AN142" s="47">
        <f>_xlfn.IFERROR(V142/X142*100,0)</f>
        <v>26.21516300528528</v>
      </c>
      <c r="AO142" s="47">
        <f>_xlfn.IFERROR(W142/AA142*100,0)</f>
        <v>53.97890699904123</v>
      </c>
      <c r="AP142" s="47">
        <f>_xlfn.IFERROR(((W142+AB142)/AA142)*100,0)</f>
        <v>65.77181208053692</v>
      </c>
      <c r="AQ142" s="47">
        <f>_xlfn.IFERROR((AD142/O142)*100,0)</f>
        <v>16.25055646022337</v>
      </c>
      <c r="AR142" s="48">
        <f>_xlfn.IFERROR((Q142/O142)*100,0)</f>
        <v>100</v>
      </c>
      <c r="AS142" s="35" t="s">
        <v>74</v>
      </c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</row>
    <row r="143" spans="1:55" ht="13.5" customHeight="1">
      <c r="A143" s="33" t="s">
        <v>398</v>
      </c>
      <c r="B143" s="9">
        <v>41836</v>
      </c>
      <c r="C143" s="10" t="s">
        <v>6</v>
      </c>
      <c r="D143" s="10" t="s">
        <v>395</v>
      </c>
      <c r="E143" s="10"/>
      <c r="F143" s="10"/>
      <c r="G143" s="10" t="s">
        <v>395</v>
      </c>
      <c r="H143" s="10" t="s">
        <v>395</v>
      </c>
      <c r="I143" s="10" t="s">
        <v>395</v>
      </c>
      <c r="J143" s="33" t="s">
        <v>399</v>
      </c>
      <c r="K143" s="33" t="s">
        <v>262</v>
      </c>
      <c r="L143" s="12">
        <v>42489</v>
      </c>
      <c r="M143" s="28" t="s">
        <v>56</v>
      </c>
      <c r="N143" s="33" t="s">
        <v>56</v>
      </c>
      <c r="O143" s="15">
        <v>0</v>
      </c>
      <c r="P143" s="15">
        <v>0</v>
      </c>
      <c r="Q143" s="15">
        <v>6000000</v>
      </c>
      <c r="R143" s="15">
        <v>0</v>
      </c>
      <c r="S143" s="29">
        <v>0</v>
      </c>
      <c r="T143" s="15">
        <v>0</v>
      </c>
      <c r="U143" s="15">
        <v>0</v>
      </c>
      <c r="V143" s="15">
        <f>U143+T143</f>
        <v>0</v>
      </c>
      <c r="W143" s="20">
        <v>0</v>
      </c>
      <c r="X143" s="15">
        <f t="shared" si="44"/>
        <v>0</v>
      </c>
      <c r="Y143" s="30">
        <f>SUM(P143+U143)</f>
        <v>0</v>
      </c>
      <c r="Z143" s="15">
        <v>0</v>
      </c>
      <c r="AA143" s="29">
        <f t="shared" si="45"/>
        <v>0</v>
      </c>
      <c r="AB143" s="20">
        <v>0</v>
      </c>
      <c r="AC143" s="20">
        <f>AH143-AG143</f>
        <v>0</v>
      </c>
      <c r="AD143" s="19">
        <v>0</v>
      </c>
      <c r="AE143" s="9">
        <v>41516</v>
      </c>
      <c r="AF143" s="9">
        <v>42037</v>
      </c>
      <c r="AG143" s="9"/>
      <c r="AH143" s="9"/>
      <c r="AI143" s="9"/>
      <c r="AJ143" s="9"/>
      <c r="AK143" s="23"/>
      <c r="AL143" s="23">
        <f t="shared" si="46"/>
        <v>0</v>
      </c>
      <c r="AM143" s="23">
        <f aca="true" t="shared" si="47" ref="AM143:AR143">_xlfn.IFERROR(AA143/P143*100,0)</f>
        <v>0</v>
      </c>
      <c r="AN143" s="23">
        <f t="shared" si="47"/>
        <v>0</v>
      </c>
      <c r="AO143" s="23">
        <f t="shared" si="47"/>
        <v>0</v>
      </c>
      <c r="AP143" s="23">
        <f t="shared" si="47"/>
        <v>0</v>
      </c>
      <c r="AQ143" s="23">
        <f t="shared" si="47"/>
        <v>0</v>
      </c>
      <c r="AR143" s="23">
        <f t="shared" si="47"/>
        <v>0</v>
      </c>
      <c r="AS143" s="25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</row>
    <row r="144" spans="1:55" ht="13.5" customHeight="1">
      <c r="A144" s="33" t="s">
        <v>400</v>
      </c>
      <c r="B144" s="9">
        <v>42027</v>
      </c>
      <c r="C144" s="10" t="s">
        <v>6</v>
      </c>
      <c r="D144" s="10" t="s">
        <v>395</v>
      </c>
      <c r="E144" s="10"/>
      <c r="F144" s="10"/>
      <c r="G144" s="10" t="s">
        <v>395</v>
      </c>
      <c r="H144" s="10" t="s">
        <v>395</v>
      </c>
      <c r="I144" s="10" t="s">
        <v>395</v>
      </c>
      <c r="J144" s="33" t="s">
        <v>401</v>
      </c>
      <c r="K144" s="33" t="s">
        <v>262</v>
      </c>
      <c r="L144" s="12">
        <v>42489</v>
      </c>
      <c r="M144" s="13" t="s">
        <v>49</v>
      </c>
      <c r="N144" s="33" t="s">
        <v>402</v>
      </c>
      <c r="O144" s="15">
        <v>2260639.18</v>
      </c>
      <c r="P144" s="15">
        <v>27000</v>
      </c>
      <c r="Q144" s="15">
        <v>2260639.16</v>
      </c>
      <c r="R144" s="15">
        <v>0</v>
      </c>
      <c r="S144" s="29">
        <v>180</v>
      </c>
      <c r="T144" s="15">
        <v>0</v>
      </c>
      <c r="U144" s="15">
        <v>0</v>
      </c>
      <c r="V144" s="15">
        <f>U144+T144</f>
        <v>0</v>
      </c>
      <c r="W144" s="20">
        <v>0</v>
      </c>
      <c r="X144" s="15">
        <f t="shared" si="44"/>
        <v>2260639.18</v>
      </c>
      <c r="Y144" s="15">
        <v>27000</v>
      </c>
      <c r="Z144" s="15">
        <v>2260639.18</v>
      </c>
      <c r="AA144" s="29">
        <f t="shared" si="45"/>
        <v>180</v>
      </c>
      <c r="AB144" s="20">
        <v>0</v>
      </c>
      <c r="AC144" s="20">
        <f>AH144-AG144</f>
        <v>130</v>
      </c>
      <c r="AD144" s="79">
        <v>132741.53</v>
      </c>
      <c r="AE144" s="9">
        <v>41429</v>
      </c>
      <c r="AF144" s="9">
        <v>41743</v>
      </c>
      <c r="AG144" s="9">
        <v>42212</v>
      </c>
      <c r="AH144" s="9">
        <v>42342</v>
      </c>
      <c r="AI144" s="22"/>
      <c r="AJ144" s="22"/>
      <c r="AK144" s="23"/>
      <c r="AL144" s="23">
        <f t="shared" si="46"/>
        <v>100</v>
      </c>
      <c r="AM144" s="23">
        <f aca="true" t="shared" si="48" ref="AM144:AM154">_xlfn.IFERROR(AC144/S144*100,0)</f>
        <v>72.22222222222221</v>
      </c>
      <c r="AN144" s="23">
        <f aca="true" t="shared" si="49" ref="AN144:AN154">_xlfn.IFERROR(V144/X144*100,0)</f>
        <v>0</v>
      </c>
      <c r="AO144" s="23">
        <f aca="true" t="shared" si="50" ref="AO144:AO154">_xlfn.IFERROR(W144/AA144*100,0)</f>
        <v>0</v>
      </c>
      <c r="AP144" s="23">
        <f aca="true" t="shared" si="51" ref="AP144:AP154">_xlfn.IFERROR(((W144+AB144)/AA144)*100,0)</f>
        <v>0</v>
      </c>
      <c r="AQ144" s="23">
        <f aca="true" t="shared" si="52" ref="AQ144:AQ154">_xlfn.IFERROR((AD144/O144)*100,0)</f>
        <v>5.871858329908269</v>
      </c>
      <c r="AR144" s="24">
        <f aca="true" t="shared" si="53" ref="AR144:AR154">_xlfn.IFERROR((Q144/O144)*100,0)</f>
        <v>99.99999911529446</v>
      </c>
      <c r="AS144" s="25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</row>
    <row r="145" spans="1:55" ht="13.5" customHeight="1">
      <c r="A145" s="36" t="s">
        <v>403</v>
      </c>
      <c r="B145" s="37">
        <v>40504</v>
      </c>
      <c r="C145" s="38" t="s">
        <v>6</v>
      </c>
      <c r="D145" s="38" t="s">
        <v>395</v>
      </c>
      <c r="E145" s="36">
        <v>40.83977222222222</v>
      </c>
      <c r="F145" s="36">
        <v>14.276280555555557</v>
      </c>
      <c r="G145" s="38" t="s">
        <v>395</v>
      </c>
      <c r="H145" s="38" t="s">
        <v>395</v>
      </c>
      <c r="I145" s="38" t="s">
        <v>395</v>
      </c>
      <c r="J145" s="38" t="s">
        <v>404</v>
      </c>
      <c r="K145" s="8"/>
      <c r="L145" s="39">
        <v>42459</v>
      </c>
      <c r="M145" s="60" t="s">
        <v>72</v>
      </c>
      <c r="N145" s="8" t="s">
        <v>93</v>
      </c>
      <c r="O145" s="42">
        <v>2331351.62</v>
      </c>
      <c r="P145" s="42">
        <v>104712.51</v>
      </c>
      <c r="Q145" s="42">
        <f>O145</f>
        <v>2331351.62</v>
      </c>
      <c r="R145" s="42">
        <v>0</v>
      </c>
      <c r="S145" s="43">
        <v>365</v>
      </c>
      <c r="T145" s="42">
        <f>697061.15-12932.56</f>
        <v>684128.59</v>
      </c>
      <c r="U145" s="42">
        <f>201165.64-104712.51</f>
        <v>96453.13000000002</v>
      </c>
      <c r="V145" s="42">
        <f>U145+T145</f>
        <v>780581.72</v>
      </c>
      <c r="W145" s="44">
        <v>110</v>
      </c>
      <c r="X145" s="42">
        <f t="shared" si="44"/>
        <v>3015480.21</v>
      </c>
      <c r="Y145" s="42">
        <f>SUM(P145+U145)</f>
        <v>201165.64</v>
      </c>
      <c r="Z145" s="42">
        <v>2017696.18</v>
      </c>
      <c r="AA145" s="43">
        <f t="shared" si="45"/>
        <v>475</v>
      </c>
      <c r="AB145" s="44">
        <f>348+134-5</f>
        <v>477</v>
      </c>
      <c r="AC145" s="46">
        <f>IF(N145="Progettazione",0,(L145-AG145-AB145))</f>
        <v>322</v>
      </c>
      <c r="AD145" s="42">
        <v>50000</v>
      </c>
      <c r="AE145" s="37">
        <v>38198</v>
      </c>
      <c r="AF145" s="37">
        <v>40511</v>
      </c>
      <c r="AG145" s="37">
        <v>41660</v>
      </c>
      <c r="AH145" s="37">
        <v>42612</v>
      </c>
      <c r="AI145" s="37">
        <f>AH145</f>
        <v>42612</v>
      </c>
      <c r="AJ145" s="37"/>
      <c r="AK145" s="47"/>
      <c r="AL145" s="47">
        <f t="shared" si="46"/>
        <v>86.54619760875023</v>
      </c>
      <c r="AM145" s="47">
        <f t="shared" si="48"/>
        <v>88.21917808219179</v>
      </c>
      <c r="AN145" s="47">
        <f t="shared" si="49"/>
        <v>25.885818033605997</v>
      </c>
      <c r="AO145" s="47">
        <f t="shared" si="50"/>
        <v>23.157894736842106</v>
      </c>
      <c r="AP145" s="47">
        <f t="shared" si="51"/>
        <v>123.57894736842105</v>
      </c>
      <c r="AQ145" s="47">
        <f t="shared" si="52"/>
        <v>2.1446786306734804</v>
      </c>
      <c r="AR145" s="48">
        <f t="shared" si="53"/>
        <v>100</v>
      </c>
      <c r="AS145" s="35" t="s">
        <v>74</v>
      </c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</row>
    <row r="146" spans="1:55" ht="13.5" customHeight="1">
      <c r="A146" s="36" t="s">
        <v>405</v>
      </c>
      <c r="B146" s="37">
        <v>40498</v>
      </c>
      <c r="C146" s="38" t="s">
        <v>6</v>
      </c>
      <c r="D146" s="38" t="s">
        <v>395</v>
      </c>
      <c r="E146" s="36">
        <v>40.83977222222222</v>
      </c>
      <c r="F146" s="36">
        <v>14.276280555555557</v>
      </c>
      <c r="G146" s="38" t="s">
        <v>395</v>
      </c>
      <c r="H146" s="38" t="s">
        <v>395</v>
      </c>
      <c r="I146" s="38" t="s">
        <v>395</v>
      </c>
      <c r="J146" s="38" t="s">
        <v>406</v>
      </c>
      <c r="K146" s="8"/>
      <c r="L146" s="39">
        <v>42459</v>
      </c>
      <c r="M146" s="60" t="s">
        <v>72</v>
      </c>
      <c r="N146" s="8" t="s">
        <v>93</v>
      </c>
      <c r="O146" s="42">
        <v>18130353.71</v>
      </c>
      <c r="P146" s="42">
        <v>851995.6</v>
      </c>
      <c r="Q146" s="42">
        <f>O146</f>
        <v>18130353.71</v>
      </c>
      <c r="R146" s="42">
        <v>0</v>
      </c>
      <c r="S146" s="43">
        <v>1020</v>
      </c>
      <c r="T146" s="59">
        <v>0</v>
      </c>
      <c r="U146" s="59">
        <v>0</v>
      </c>
      <c r="V146" s="59">
        <v>0</v>
      </c>
      <c r="W146" s="44">
        <v>269</v>
      </c>
      <c r="X146" s="42">
        <f t="shared" si="44"/>
        <v>18130353.71</v>
      </c>
      <c r="Y146" s="42">
        <f>SUM(P146+U146)</f>
        <v>851995.6</v>
      </c>
      <c r="Z146" s="42">
        <v>7069971.19</v>
      </c>
      <c r="AA146" s="43">
        <f t="shared" si="45"/>
        <v>1289</v>
      </c>
      <c r="AB146" s="44">
        <f>216+48</f>
        <v>264</v>
      </c>
      <c r="AC146" s="46">
        <f>IF(N146="Progettazione",0,(L146-AG146-AB146))</f>
        <v>977</v>
      </c>
      <c r="AD146" s="42">
        <v>1943080.93</v>
      </c>
      <c r="AE146" s="37">
        <v>39381</v>
      </c>
      <c r="AF146" s="37">
        <v>41187</v>
      </c>
      <c r="AG146" s="37">
        <v>41218</v>
      </c>
      <c r="AH146" s="53">
        <v>42819</v>
      </c>
      <c r="AI146" s="37">
        <f>AH146</f>
        <v>42819</v>
      </c>
      <c r="AJ146" s="37"/>
      <c r="AK146" s="47"/>
      <c r="AL146" s="47">
        <f t="shared" si="46"/>
        <v>38.995219305073334</v>
      </c>
      <c r="AM146" s="47">
        <f t="shared" si="48"/>
        <v>95.7843137254902</v>
      </c>
      <c r="AN146" s="47">
        <f t="shared" si="49"/>
        <v>0</v>
      </c>
      <c r="AO146" s="47">
        <f t="shared" si="50"/>
        <v>20.8688906128782</v>
      </c>
      <c r="AP146" s="47">
        <f t="shared" si="51"/>
        <v>41.34988363072149</v>
      </c>
      <c r="AQ146" s="47">
        <f t="shared" si="52"/>
        <v>10.71728087096432</v>
      </c>
      <c r="AR146" s="48">
        <f t="shared" si="53"/>
        <v>100</v>
      </c>
      <c r="AS146" s="35" t="s">
        <v>74</v>
      </c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</row>
    <row r="147" spans="1:55" ht="13.5" customHeight="1">
      <c r="A147" s="33" t="s">
        <v>407</v>
      </c>
      <c r="B147" s="9">
        <v>42138</v>
      </c>
      <c r="C147" s="10" t="s">
        <v>6</v>
      </c>
      <c r="D147" s="10" t="s">
        <v>395</v>
      </c>
      <c r="E147" s="10"/>
      <c r="F147" s="10"/>
      <c r="G147" s="10" t="s">
        <v>395</v>
      </c>
      <c r="H147" s="10" t="s">
        <v>395</v>
      </c>
      <c r="I147" s="10" t="s">
        <v>395</v>
      </c>
      <c r="J147" s="33" t="s">
        <v>408</v>
      </c>
      <c r="K147" s="33"/>
      <c r="L147" s="12">
        <v>42495</v>
      </c>
      <c r="M147" s="28" t="s">
        <v>56</v>
      </c>
      <c r="N147" s="33" t="s">
        <v>56</v>
      </c>
      <c r="O147" s="15">
        <f>SUM(O148:O149)</f>
        <v>0</v>
      </c>
      <c r="P147" s="19">
        <v>0</v>
      </c>
      <c r="Q147" s="15">
        <f>SUM(Q148:Q149)</f>
        <v>57750000</v>
      </c>
      <c r="R147" s="15">
        <v>0</v>
      </c>
      <c r="S147" s="29">
        <f>SUM(S148:S149)</f>
        <v>840</v>
      </c>
      <c r="T147" s="15">
        <v>0</v>
      </c>
      <c r="U147" s="15">
        <v>0</v>
      </c>
      <c r="V147" s="15">
        <f>U147+T147</f>
        <v>0</v>
      </c>
      <c r="W147" s="20">
        <v>0</v>
      </c>
      <c r="X147" s="15">
        <f t="shared" si="44"/>
        <v>0</v>
      </c>
      <c r="Y147" s="30">
        <f>SUM(P147+U147)</f>
        <v>0</v>
      </c>
      <c r="Z147" s="15">
        <v>0</v>
      </c>
      <c r="AA147" s="29">
        <f t="shared" si="45"/>
        <v>840</v>
      </c>
      <c r="AB147" s="20">
        <v>0</v>
      </c>
      <c r="AC147" s="31">
        <f>SUM(AC148:AC149)</f>
        <v>0</v>
      </c>
      <c r="AD147" s="15">
        <v>0</v>
      </c>
      <c r="AE147" s="9">
        <f>MIN(AE148:AE149)</f>
        <v>41598</v>
      </c>
      <c r="AF147" s="9">
        <f>MAX(AF148:AF149)</f>
        <v>42359</v>
      </c>
      <c r="AG147" s="9" t="s">
        <v>262</v>
      </c>
      <c r="AH147" s="9" t="s">
        <v>262</v>
      </c>
      <c r="AI147" s="9" t="s">
        <v>262</v>
      </c>
      <c r="AJ147" s="9" t="s">
        <v>262</v>
      </c>
      <c r="AK147" s="23"/>
      <c r="AL147" s="23">
        <f t="shared" si="46"/>
        <v>0</v>
      </c>
      <c r="AM147" s="23">
        <f t="shared" si="48"/>
        <v>0</v>
      </c>
      <c r="AN147" s="23">
        <f t="shared" si="49"/>
        <v>0</v>
      </c>
      <c r="AO147" s="23">
        <f t="shared" si="50"/>
        <v>0</v>
      </c>
      <c r="AP147" s="23">
        <f t="shared" si="51"/>
        <v>0</v>
      </c>
      <c r="AQ147" s="23">
        <f t="shared" si="52"/>
        <v>0</v>
      </c>
      <c r="AR147" s="24">
        <f t="shared" si="53"/>
        <v>0</v>
      </c>
      <c r="AS147" s="25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</row>
    <row r="148" spans="1:55" ht="13.5" customHeight="1">
      <c r="A148" s="33" t="s">
        <v>407</v>
      </c>
      <c r="B148" s="9">
        <v>42138</v>
      </c>
      <c r="C148" s="10" t="s">
        <v>6</v>
      </c>
      <c r="D148" s="10" t="s">
        <v>395</v>
      </c>
      <c r="E148" s="10"/>
      <c r="F148" s="10"/>
      <c r="G148" s="10" t="s">
        <v>395</v>
      </c>
      <c r="H148" s="10" t="s">
        <v>395</v>
      </c>
      <c r="I148" s="10" t="s">
        <v>395</v>
      </c>
      <c r="J148" s="33" t="s">
        <v>408</v>
      </c>
      <c r="K148" s="10" t="s">
        <v>60</v>
      </c>
      <c r="L148" s="12">
        <v>42495</v>
      </c>
      <c r="M148" s="28" t="s">
        <v>56</v>
      </c>
      <c r="N148" s="33" t="s">
        <v>56</v>
      </c>
      <c r="O148" s="15" t="s">
        <v>211</v>
      </c>
      <c r="P148" s="19">
        <v>0</v>
      </c>
      <c r="Q148" s="15">
        <v>45600000</v>
      </c>
      <c r="R148" s="15">
        <v>0</v>
      </c>
      <c r="S148" s="29">
        <v>420</v>
      </c>
      <c r="T148" s="15">
        <v>0</v>
      </c>
      <c r="U148" s="15">
        <v>0</v>
      </c>
      <c r="V148" s="15">
        <v>0</v>
      </c>
      <c r="W148" s="20">
        <v>0</v>
      </c>
      <c r="X148" s="15">
        <v>0</v>
      </c>
      <c r="Y148" s="15">
        <v>0</v>
      </c>
      <c r="Z148" s="15">
        <v>0</v>
      </c>
      <c r="AA148" s="29">
        <v>420</v>
      </c>
      <c r="AB148" s="20">
        <v>0</v>
      </c>
      <c r="AC148" s="20">
        <v>0</v>
      </c>
      <c r="AD148" s="15">
        <v>0</v>
      </c>
      <c r="AE148" s="9">
        <v>41598</v>
      </c>
      <c r="AF148" s="9">
        <v>42359</v>
      </c>
      <c r="AG148" s="9" t="s">
        <v>262</v>
      </c>
      <c r="AH148" s="9" t="s">
        <v>262</v>
      </c>
      <c r="AI148" s="9"/>
      <c r="AJ148" s="9"/>
      <c r="AK148" s="23"/>
      <c r="AL148" s="23">
        <f t="shared" si="46"/>
        <v>0</v>
      </c>
      <c r="AM148" s="23">
        <f t="shared" si="48"/>
        <v>0</v>
      </c>
      <c r="AN148" s="23">
        <f t="shared" si="49"/>
        <v>0</v>
      </c>
      <c r="AO148" s="23">
        <f t="shared" si="50"/>
        <v>0</v>
      </c>
      <c r="AP148" s="23">
        <f t="shared" si="51"/>
        <v>0</v>
      </c>
      <c r="AQ148" s="23">
        <f t="shared" si="52"/>
        <v>0</v>
      </c>
      <c r="AR148" s="24">
        <f t="shared" si="53"/>
        <v>0</v>
      </c>
      <c r="AS148" s="25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</row>
    <row r="149" spans="1:55" ht="13.5" customHeight="1">
      <c r="A149" s="33" t="s">
        <v>407</v>
      </c>
      <c r="B149" s="9">
        <v>42138</v>
      </c>
      <c r="C149" s="10" t="s">
        <v>6</v>
      </c>
      <c r="D149" s="10" t="s">
        <v>395</v>
      </c>
      <c r="E149" s="10"/>
      <c r="F149" s="10"/>
      <c r="G149" s="10" t="s">
        <v>395</v>
      </c>
      <c r="H149" s="10" t="s">
        <v>395</v>
      </c>
      <c r="I149" s="10" t="s">
        <v>395</v>
      </c>
      <c r="J149" s="33" t="s">
        <v>408</v>
      </c>
      <c r="K149" s="10" t="s">
        <v>195</v>
      </c>
      <c r="L149" s="12">
        <v>42495</v>
      </c>
      <c r="M149" s="28" t="s">
        <v>56</v>
      </c>
      <c r="N149" s="33" t="s">
        <v>56</v>
      </c>
      <c r="O149" s="15" t="s">
        <v>211</v>
      </c>
      <c r="P149" s="19">
        <v>0</v>
      </c>
      <c r="Q149" s="15">
        <v>12150000</v>
      </c>
      <c r="R149" s="15">
        <v>0</v>
      </c>
      <c r="S149" s="29">
        <v>420</v>
      </c>
      <c r="T149" s="15">
        <v>0</v>
      </c>
      <c r="U149" s="15">
        <v>0</v>
      </c>
      <c r="V149" s="15">
        <v>0</v>
      </c>
      <c r="W149" s="20">
        <v>0</v>
      </c>
      <c r="X149" s="15">
        <v>0</v>
      </c>
      <c r="Y149" s="15">
        <v>0</v>
      </c>
      <c r="Z149" s="15">
        <v>0</v>
      </c>
      <c r="AA149" s="29">
        <v>120</v>
      </c>
      <c r="AB149" s="20">
        <v>0</v>
      </c>
      <c r="AC149" s="20">
        <v>0</v>
      </c>
      <c r="AD149" s="15">
        <v>0</v>
      </c>
      <c r="AE149" s="9">
        <v>41598</v>
      </c>
      <c r="AF149" s="9"/>
      <c r="AG149" s="9" t="s">
        <v>262</v>
      </c>
      <c r="AH149" s="9" t="s">
        <v>262</v>
      </c>
      <c r="AI149" s="9"/>
      <c r="AJ149" s="9"/>
      <c r="AK149" s="23"/>
      <c r="AL149" s="23">
        <f t="shared" si="46"/>
        <v>0</v>
      </c>
      <c r="AM149" s="23">
        <f t="shared" si="48"/>
        <v>0</v>
      </c>
      <c r="AN149" s="23">
        <f t="shared" si="49"/>
        <v>0</v>
      </c>
      <c r="AO149" s="23">
        <f t="shared" si="50"/>
        <v>0</v>
      </c>
      <c r="AP149" s="23">
        <f t="shared" si="51"/>
        <v>0</v>
      </c>
      <c r="AQ149" s="23">
        <f t="shared" si="52"/>
        <v>0</v>
      </c>
      <c r="AR149" s="24">
        <f t="shared" si="53"/>
        <v>0</v>
      </c>
      <c r="AS149" s="25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</row>
    <row r="150" spans="1:55" ht="13.5" customHeight="1">
      <c r="A150" s="36" t="s">
        <v>409</v>
      </c>
      <c r="B150" s="37">
        <v>40504</v>
      </c>
      <c r="C150" s="38" t="s">
        <v>6</v>
      </c>
      <c r="D150" s="38" t="s">
        <v>395</v>
      </c>
      <c r="E150" s="36">
        <v>40.83977222222222</v>
      </c>
      <c r="F150" s="36">
        <v>14.276280555555557</v>
      </c>
      <c r="G150" s="38" t="s">
        <v>395</v>
      </c>
      <c r="H150" s="38" t="s">
        <v>395</v>
      </c>
      <c r="I150" s="38" t="s">
        <v>395</v>
      </c>
      <c r="J150" s="8" t="s">
        <v>410</v>
      </c>
      <c r="K150" s="38"/>
      <c r="L150" s="39">
        <v>42490</v>
      </c>
      <c r="M150" s="60" t="s">
        <v>72</v>
      </c>
      <c r="N150" s="40" t="s">
        <v>73</v>
      </c>
      <c r="O150" s="41">
        <f>SUM(O151:O152)</f>
        <v>12892249.64</v>
      </c>
      <c r="P150" s="42">
        <v>0</v>
      </c>
      <c r="Q150" s="41">
        <f>SUM(Q151:Q152)</f>
        <v>12892249.64</v>
      </c>
      <c r="R150" s="42">
        <v>0</v>
      </c>
      <c r="S150" s="43">
        <f>SUM(S151:S152)</f>
        <v>817</v>
      </c>
      <c r="T150" s="41">
        <v>0</v>
      </c>
      <c r="U150" s="42">
        <v>0</v>
      </c>
      <c r="V150" s="41">
        <f>U150+T150</f>
        <v>0</v>
      </c>
      <c r="W150" s="44">
        <v>0</v>
      </c>
      <c r="X150" s="41">
        <f>O150+T150</f>
        <v>12892249.64</v>
      </c>
      <c r="Y150" s="45">
        <f>SUM(P150+U150)</f>
        <v>0</v>
      </c>
      <c r="Z150" s="41">
        <v>0</v>
      </c>
      <c r="AA150" s="43">
        <f>S150+W150</f>
        <v>817</v>
      </c>
      <c r="AB150" s="44">
        <v>0</v>
      </c>
      <c r="AC150" s="46">
        <f>SUM(AC151:AC152)</f>
        <v>3526</v>
      </c>
      <c r="AD150" s="59">
        <v>0</v>
      </c>
      <c r="AE150" s="37">
        <f>MIN(AE151:AE152)</f>
        <v>37951</v>
      </c>
      <c r="AF150" s="37">
        <f>MAX(AF151:AF152)</f>
        <v>41915</v>
      </c>
      <c r="AG150" s="37">
        <f>MIN(AG151:AG152)</f>
        <v>39289</v>
      </c>
      <c r="AH150" s="37">
        <f>MAX(AH151:AH152)</f>
        <v>42555</v>
      </c>
      <c r="AI150" s="37" t="s">
        <v>262</v>
      </c>
      <c r="AJ150" s="37" t="s">
        <v>262</v>
      </c>
      <c r="AK150" s="47"/>
      <c r="AL150" s="47">
        <f t="shared" si="46"/>
        <v>0</v>
      </c>
      <c r="AM150" s="47">
        <f t="shared" si="48"/>
        <v>431.57894736842104</v>
      </c>
      <c r="AN150" s="47">
        <f t="shared" si="49"/>
        <v>0</v>
      </c>
      <c r="AO150" s="47">
        <f t="shared" si="50"/>
        <v>0</v>
      </c>
      <c r="AP150" s="47">
        <f t="shared" si="51"/>
        <v>0</v>
      </c>
      <c r="AQ150" s="47">
        <f t="shared" si="52"/>
        <v>0</v>
      </c>
      <c r="AR150" s="48">
        <f t="shared" si="53"/>
        <v>100</v>
      </c>
      <c r="AS150" s="35" t="s">
        <v>74</v>
      </c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</row>
    <row r="151" spans="1:55" ht="13.5" customHeight="1">
      <c r="A151" s="33" t="s">
        <v>409</v>
      </c>
      <c r="B151" s="9">
        <f>B150</f>
        <v>40504</v>
      </c>
      <c r="C151" s="10" t="s">
        <v>6</v>
      </c>
      <c r="D151" s="10" t="s">
        <v>395</v>
      </c>
      <c r="E151" s="10"/>
      <c r="F151" s="10"/>
      <c r="G151" s="10" t="s">
        <v>395</v>
      </c>
      <c r="H151" s="10" t="s">
        <v>395</v>
      </c>
      <c r="I151" s="10" t="s">
        <v>395</v>
      </c>
      <c r="J151" s="33" t="s">
        <v>410</v>
      </c>
      <c r="K151" s="33" t="s">
        <v>411</v>
      </c>
      <c r="L151" s="12">
        <v>42490</v>
      </c>
      <c r="M151" s="28" t="s">
        <v>56</v>
      </c>
      <c r="N151" s="14" t="s">
        <v>211</v>
      </c>
      <c r="O151" s="79">
        <v>8183317.07</v>
      </c>
      <c r="P151" s="15">
        <v>0</v>
      </c>
      <c r="Q151" s="79">
        <f>O151</f>
        <v>8183317.07</v>
      </c>
      <c r="R151" s="15">
        <v>0</v>
      </c>
      <c r="S151" s="29">
        <v>427</v>
      </c>
      <c r="T151" s="79">
        <f>642931.95+1921221.78</f>
        <v>2564153.73</v>
      </c>
      <c r="U151" s="15">
        <v>0</v>
      </c>
      <c r="V151" s="79">
        <f>U151+T151</f>
        <v>2564153.73</v>
      </c>
      <c r="W151" s="20">
        <v>330</v>
      </c>
      <c r="X151" s="79">
        <f>O151+T151</f>
        <v>10747470.8</v>
      </c>
      <c r="Y151" s="30">
        <f>SUM(P151+U151)</f>
        <v>0</v>
      </c>
      <c r="Z151" s="79">
        <v>6316618.3</v>
      </c>
      <c r="AA151" s="29">
        <f>S151+W151</f>
        <v>757</v>
      </c>
      <c r="AB151" s="92">
        <v>0</v>
      </c>
      <c r="AC151" s="31">
        <f>IF(N151="Progettazione",0,(L151-AG151-AB151))</f>
        <v>3201</v>
      </c>
      <c r="AD151" s="79">
        <f>111829+1012000</f>
        <v>1123829</v>
      </c>
      <c r="AE151" s="9">
        <v>37951</v>
      </c>
      <c r="AF151" s="9">
        <v>39051</v>
      </c>
      <c r="AG151" s="9">
        <v>39289</v>
      </c>
      <c r="AH151" s="9">
        <f>AG151+427</f>
        <v>39716</v>
      </c>
      <c r="AI151" s="9"/>
      <c r="AJ151" s="9"/>
      <c r="AK151" s="23"/>
      <c r="AL151" s="23">
        <f t="shared" si="46"/>
        <v>77.18897173319473</v>
      </c>
      <c r="AM151" s="23">
        <f t="shared" si="48"/>
        <v>749.6487119437938</v>
      </c>
      <c r="AN151" s="23">
        <f t="shared" si="49"/>
        <v>23.858206062769668</v>
      </c>
      <c r="AO151" s="23">
        <f t="shared" si="50"/>
        <v>43.59313077939234</v>
      </c>
      <c r="AP151" s="23">
        <f t="shared" si="51"/>
        <v>43.59313077939234</v>
      </c>
      <c r="AQ151" s="23">
        <f t="shared" si="52"/>
        <v>13.733171895782354</v>
      </c>
      <c r="AR151" s="24">
        <f t="shared" si="53"/>
        <v>100</v>
      </c>
      <c r="AS151" s="25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</row>
    <row r="152" spans="1:55" ht="13.5" customHeight="1">
      <c r="A152" s="38" t="s">
        <v>409</v>
      </c>
      <c r="B152" s="53">
        <f>B150</f>
        <v>40504</v>
      </c>
      <c r="C152" s="38" t="s">
        <v>6</v>
      </c>
      <c r="D152" s="38" t="s">
        <v>395</v>
      </c>
      <c r="E152" s="36">
        <v>40.83977222222222</v>
      </c>
      <c r="F152" s="36">
        <v>14.276280555555557</v>
      </c>
      <c r="G152" s="38" t="s">
        <v>395</v>
      </c>
      <c r="H152" s="38" t="s">
        <v>395</v>
      </c>
      <c r="I152" s="38" t="s">
        <v>395</v>
      </c>
      <c r="J152" s="38" t="s">
        <v>410</v>
      </c>
      <c r="K152" s="38" t="s">
        <v>412</v>
      </c>
      <c r="L152" s="54">
        <v>42490</v>
      </c>
      <c r="M152" s="60" t="s">
        <v>72</v>
      </c>
      <c r="N152" s="49" t="s">
        <v>73</v>
      </c>
      <c r="O152" s="41">
        <v>4708932.57</v>
      </c>
      <c r="P152" s="41">
        <v>0</v>
      </c>
      <c r="Q152" s="41">
        <f>O152</f>
        <v>4708932.57</v>
      </c>
      <c r="R152" s="41">
        <v>0</v>
      </c>
      <c r="S152" s="55">
        <v>390</v>
      </c>
      <c r="T152" s="41">
        <v>0</v>
      </c>
      <c r="U152" s="41">
        <v>0</v>
      </c>
      <c r="V152" s="41">
        <f>U152+T152</f>
        <v>0</v>
      </c>
      <c r="W152" s="56">
        <v>0</v>
      </c>
      <c r="X152" s="41">
        <f>O152+T152</f>
        <v>4708932.57</v>
      </c>
      <c r="Y152" s="45">
        <f>SUM(P152+U152)</f>
        <v>0</v>
      </c>
      <c r="Z152" s="41">
        <v>2084499.53</v>
      </c>
      <c r="AA152" s="55">
        <f>S152+W152</f>
        <v>390</v>
      </c>
      <c r="AB152" s="56">
        <v>0</v>
      </c>
      <c r="AC152" s="55">
        <f>IF(N152="Progettazione",0,(L152-AG152-AB152))</f>
        <v>325</v>
      </c>
      <c r="AD152" s="41">
        <v>0</v>
      </c>
      <c r="AE152" s="53" t="s">
        <v>413</v>
      </c>
      <c r="AF152" s="53">
        <v>41915</v>
      </c>
      <c r="AG152" s="53">
        <v>42165</v>
      </c>
      <c r="AH152" s="53">
        <v>42555</v>
      </c>
      <c r="AI152" s="53"/>
      <c r="AJ152" s="53"/>
      <c r="AK152" s="57"/>
      <c r="AL152" s="57">
        <f t="shared" si="46"/>
        <v>44.26692247156132</v>
      </c>
      <c r="AM152" s="57">
        <f t="shared" si="48"/>
        <v>83.33333333333334</v>
      </c>
      <c r="AN152" s="57">
        <f t="shared" si="49"/>
        <v>0</v>
      </c>
      <c r="AO152" s="57">
        <f t="shared" si="50"/>
        <v>0</v>
      </c>
      <c r="AP152" s="57">
        <f t="shared" si="51"/>
        <v>0</v>
      </c>
      <c r="AQ152" s="57">
        <f t="shared" si="52"/>
        <v>0</v>
      </c>
      <c r="AR152" s="48">
        <f t="shared" si="53"/>
        <v>100</v>
      </c>
      <c r="AS152" s="35" t="s">
        <v>74</v>
      </c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</row>
    <row r="153" spans="1:55" ht="13.5" customHeight="1">
      <c r="A153" s="33" t="s">
        <v>414</v>
      </c>
      <c r="B153" s="9">
        <v>41044</v>
      </c>
      <c r="C153" s="10" t="s">
        <v>6</v>
      </c>
      <c r="D153" s="10" t="s">
        <v>395</v>
      </c>
      <c r="E153" s="10"/>
      <c r="F153" s="10"/>
      <c r="G153" s="10" t="s">
        <v>395</v>
      </c>
      <c r="H153" s="10" t="s">
        <v>395</v>
      </c>
      <c r="I153" s="10" t="s">
        <v>395</v>
      </c>
      <c r="J153" s="33" t="s">
        <v>415</v>
      </c>
      <c r="K153" s="33" t="s">
        <v>416</v>
      </c>
      <c r="L153" s="12">
        <v>42490</v>
      </c>
      <c r="M153" s="28" t="s">
        <v>56</v>
      </c>
      <c r="N153" s="33" t="s">
        <v>56</v>
      </c>
      <c r="O153" s="79">
        <v>11725665.93</v>
      </c>
      <c r="P153" s="79">
        <v>0</v>
      </c>
      <c r="Q153" s="79">
        <v>11725665.93</v>
      </c>
      <c r="R153" s="79">
        <v>0</v>
      </c>
      <c r="S153" s="16">
        <v>0</v>
      </c>
      <c r="T153" s="15">
        <v>0</v>
      </c>
      <c r="U153" s="79">
        <v>0</v>
      </c>
      <c r="V153" s="15">
        <v>0</v>
      </c>
      <c r="W153" s="20">
        <v>0</v>
      </c>
      <c r="X153" s="15">
        <v>0</v>
      </c>
      <c r="Y153" s="15">
        <v>0</v>
      </c>
      <c r="Z153" s="15">
        <v>0</v>
      </c>
      <c r="AA153" s="16">
        <v>0</v>
      </c>
      <c r="AB153" s="20">
        <v>0</v>
      </c>
      <c r="AC153" s="31">
        <f>IF(N153="Progettazione",0,(L153-AG153-AB153))</f>
        <v>0</v>
      </c>
      <c r="AD153" s="15">
        <v>0</v>
      </c>
      <c r="AE153" s="9"/>
      <c r="AF153" s="9"/>
      <c r="AG153" s="9"/>
      <c r="AH153" s="9"/>
      <c r="AI153" s="9"/>
      <c r="AJ153" s="9"/>
      <c r="AK153" s="23"/>
      <c r="AL153" s="23">
        <f t="shared" si="46"/>
        <v>0</v>
      </c>
      <c r="AM153" s="23">
        <f t="shared" si="48"/>
        <v>0</v>
      </c>
      <c r="AN153" s="23">
        <f t="shared" si="49"/>
        <v>0</v>
      </c>
      <c r="AO153" s="23">
        <f t="shared" si="50"/>
        <v>0</v>
      </c>
      <c r="AP153" s="23">
        <f t="shared" si="51"/>
        <v>0</v>
      </c>
      <c r="AQ153" s="23">
        <f t="shared" si="52"/>
        <v>0</v>
      </c>
      <c r="AR153" s="24">
        <f t="shared" si="53"/>
        <v>100</v>
      </c>
      <c r="AS153" s="34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</row>
    <row r="154" spans="1:55" ht="13.5" customHeight="1">
      <c r="A154" s="33" t="s">
        <v>417</v>
      </c>
      <c r="B154" s="9">
        <v>41922</v>
      </c>
      <c r="C154" s="10" t="s">
        <v>6</v>
      </c>
      <c r="D154" s="10" t="s">
        <v>395</v>
      </c>
      <c r="E154" s="10"/>
      <c r="F154" s="10"/>
      <c r="G154" s="10" t="s">
        <v>395</v>
      </c>
      <c r="H154" s="10" t="s">
        <v>395</v>
      </c>
      <c r="I154" s="10" t="s">
        <v>395</v>
      </c>
      <c r="J154" s="33" t="s">
        <v>418</v>
      </c>
      <c r="K154" s="33"/>
      <c r="L154" s="12">
        <v>42490</v>
      </c>
      <c r="M154" s="28" t="s">
        <v>56</v>
      </c>
      <c r="N154" s="33" t="s">
        <v>56</v>
      </c>
      <c r="O154" s="79">
        <v>15968246.9</v>
      </c>
      <c r="P154" s="79">
        <v>0</v>
      </c>
      <c r="Q154" s="79">
        <v>15938246.9</v>
      </c>
      <c r="R154" s="79">
        <v>0</v>
      </c>
      <c r="S154" s="16">
        <v>0</v>
      </c>
      <c r="T154" s="15">
        <v>0</v>
      </c>
      <c r="U154" s="79">
        <v>0</v>
      </c>
      <c r="V154" s="15">
        <v>0</v>
      </c>
      <c r="W154" s="20">
        <v>0</v>
      </c>
      <c r="X154" s="15">
        <v>0</v>
      </c>
      <c r="Y154" s="15">
        <v>0</v>
      </c>
      <c r="Z154" s="15">
        <v>0</v>
      </c>
      <c r="AA154" s="16">
        <v>0</v>
      </c>
      <c r="AB154" s="20">
        <v>0</v>
      </c>
      <c r="AC154" s="31">
        <f>IF(N154="Progettazione",0,(L154-AG154-AB154))</f>
        <v>0</v>
      </c>
      <c r="AD154" s="15">
        <v>0</v>
      </c>
      <c r="AE154" s="9"/>
      <c r="AF154" s="9"/>
      <c r="AG154" s="9"/>
      <c r="AH154" s="9"/>
      <c r="AI154" s="9"/>
      <c r="AJ154" s="9"/>
      <c r="AK154" s="23"/>
      <c r="AL154" s="23">
        <f t="shared" si="46"/>
        <v>0</v>
      </c>
      <c r="AM154" s="23">
        <f t="shared" si="48"/>
        <v>0</v>
      </c>
      <c r="AN154" s="23">
        <f t="shared" si="49"/>
        <v>0</v>
      </c>
      <c r="AO154" s="23">
        <f t="shared" si="50"/>
        <v>0</v>
      </c>
      <c r="AP154" s="23">
        <f t="shared" si="51"/>
        <v>0</v>
      </c>
      <c r="AQ154" s="23">
        <f t="shared" si="52"/>
        <v>0</v>
      </c>
      <c r="AR154" s="24">
        <f t="shared" si="53"/>
        <v>99.81212715341971</v>
      </c>
      <c r="AS154" s="34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</row>
    <row r="155" spans="1:55" ht="13.5" customHeight="1">
      <c r="A155" s="66" t="s">
        <v>419</v>
      </c>
      <c r="B155" s="68">
        <v>42424</v>
      </c>
      <c r="C155" s="10" t="s">
        <v>6</v>
      </c>
      <c r="D155" s="8" t="s">
        <v>420</v>
      </c>
      <c r="E155" s="8"/>
      <c r="F155" s="8"/>
      <c r="G155" s="8" t="s">
        <v>420</v>
      </c>
      <c r="H155" s="8" t="s">
        <v>420</v>
      </c>
      <c r="I155" s="8" t="s">
        <v>420</v>
      </c>
      <c r="J155" s="33" t="s">
        <v>421</v>
      </c>
      <c r="K155" s="33" t="s">
        <v>421</v>
      </c>
      <c r="L155" s="93">
        <v>42229</v>
      </c>
      <c r="M155" s="13" t="s">
        <v>49</v>
      </c>
      <c r="N155" s="94" t="s">
        <v>422</v>
      </c>
      <c r="O155" s="42">
        <v>1238498.45</v>
      </c>
      <c r="P155" s="42">
        <v>65079.85</v>
      </c>
      <c r="Q155" s="59">
        <v>0</v>
      </c>
      <c r="R155" s="59">
        <v>0</v>
      </c>
      <c r="S155" s="55">
        <v>180</v>
      </c>
      <c r="T155" s="45">
        <v>0</v>
      </c>
      <c r="U155" s="45">
        <v>0</v>
      </c>
      <c r="V155" s="45">
        <v>0</v>
      </c>
      <c r="W155" s="95">
        <v>0</v>
      </c>
      <c r="X155" s="41">
        <v>1245614.13</v>
      </c>
      <c r="Y155" s="42">
        <f aca="true" t="shared" si="54" ref="Y155:Y161">SUM(P155+U155)</f>
        <v>65079.85</v>
      </c>
      <c r="Z155" s="45">
        <v>1239711.44</v>
      </c>
      <c r="AA155" s="96">
        <v>180</v>
      </c>
      <c r="AB155" s="20">
        <v>0</v>
      </c>
      <c r="AC155" s="97">
        <v>200</v>
      </c>
      <c r="AD155" s="98">
        <v>256585.65</v>
      </c>
      <c r="AE155" s="68">
        <v>42011</v>
      </c>
      <c r="AF155" s="68">
        <v>42024</v>
      </c>
      <c r="AG155" s="68">
        <v>42030</v>
      </c>
      <c r="AH155" s="68">
        <v>42229</v>
      </c>
      <c r="AI155" s="68">
        <v>42030</v>
      </c>
      <c r="AJ155" s="68">
        <v>42229</v>
      </c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</row>
    <row r="156" spans="1:55" ht="13.5" customHeight="1">
      <c r="A156" s="66" t="s">
        <v>423</v>
      </c>
      <c r="B156" s="68">
        <v>42254</v>
      </c>
      <c r="C156" s="10" t="s">
        <v>6</v>
      </c>
      <c r="D156" s="8" t="s">
        <v>420</v>
      </c>
      <c r="E156" s="8"/>
      <c r="F156" s="8"/>
      <c r="G156" s="8" t="s">
        <v>420</v>
      </c>
      <c r="H156" s="8" t="s">
        <v>420</v>
      </c>
      <c r="I156" s="8" t="s">
        <v>420</v>
      </c>
      <c r="J156" s="33" t="s">
        <v>424</v>
      </c>
      <c r="K156" s="33" t="s">
        <v>424</v>
      </c>
      <c r="L156" s="93">
        <v>42460</v>
      </c>
      <c r="M156" s="13" t="s">
        <v>49</v>
      </c>
      <c r="N156" s="94" t="s">
        <v>425</v>
      </c>
      <c r="O156" s="42">
        <v>573923.82</v>
      </c>
      <c r="P156" s="42">
        <v>28897.27</v>
      </c>
      <c r="Q156" s="59">
        <v>0</v>
      </c>
      <c r="R156" s="59">
        <v>0</v>
      </c>
      <c r="S156" s="55">
        <v>153</v>
      </c>
      <c r="T156" s="45">
        <v>65833.62</v>
      </c>
      <c r="U156" s="45">
        <v>28897.27</v>
      </c>
      <c r="V156" s="59">
        <v>0</v>
      </c>
      <c r="W156" s="95">
        <v>19</v>
      </c>
      <c r="X156" s="41">
        <v>668654.71</v>
      </c>
      <c r="Y156" s="42">
        <f t="shared" si="54"/>
        <v>57794.54</v>
      </c>
      <c r="Z156" s="45">
        <v>663381.86</v>
      </c>
      <c r="AA156" s="96">
        <v>153</v>
      </c>
      <c r="AB156" s="20">
        <v>0</v>
      </c>
      <c r="AC156" s="97">
        <v>172</v>
      </c>
      <c r="AD156" s="98">
        <v>110000</v>
      </c>
      <c r="AE156" s="37">
        <v>42036</v>
      </c>
      <c r="AF156" s="68">
        <v>42124</v>
      </c>
      <c r="AG156" s="68">
        <v>42289</v>
      </c>
      <c r="AH156" s="68">
        <v>42460</v>
      </c>
      <c r="AI156" s="68">
        <v>42289</v>
      </c>
      <c r="AJ156" s="68">
        <v>42460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</row>
    <row r="157" spans="1:55" ht="13.5" customHeight="1">
      <c r="A157" s="8" t="s">
        <v>426</v>
      </c>
      <c r="B157" s="68" t="s">
        <v>427</v>
      </c>
      <c r="C157" s="10" t="s">
        <v>6</v>
      </c>
      <c r="D157" s="8" t="s">
        <v>420</v>
      </c>
      <c r="E157" s="8"/>
      <c r="F157" s="8"/>
      <c r="G157" s="8" t="s">
        <v>428</v>
      </c>
      <c r="H157" s="8" t="s">
        <v>420</v>
      </c>
      <c r="I157" s="8" t="s">
        <v>420</v>
      </c>
      <c r="J157" s="33" t="s">
        <v>429</v>
      </c>
      <c r="K157" s="33" t="s">
        <v>429</v>
      </c>
      <c r="L157" s="93">
        <v>42354</v>
      </c>
      <c r="M157" s="13" t="s">
        <v>49</v>
      </c>
      <c r="N157" s="94" t="s">
        <v>430</v>
      </c>
      <c r="O157" s="42">
        <v>662242.5</v>
      </c>
      <c r="P157" s="45">
        <v>2500</v>
      </c>
      <c r="Q157" s="59">
        <v>0</v>
      </c>
      <c r="R157" s="59">
        <v>0</v>
      </c>
      <c r="S157" s="55">
        <v>150</v>
      </c>
      <c r="T157" s="45">
        <v>335472.5</v>
      </c>
      <c r="U157" s="45">
        <v>2500</v>
      </c>
      <c r="V157" s="45">
        <v>335472.5</v>
      </c>
      <c r="W157" s="95">
        <v>65</v>
      </c>
      <c r="X157" s="45">
        <v>1007720</v>
      </c>
      <c r="Y157" s="42">
        <f t="shared" si="54"/>
        <v>5000</v>
      </c>
      <c r="Z157" s="45">
        <v>709947.46</v>
      </c>
      <c r="AA157" s="96">
        <v>215</v>
      </c>
      <c r="AB157" s="20">
        <v>0</v>
      </c>
      <c r="AC157" s="97">
        <v>215</v>
      </c>
      <c r="AD157" s="98">
        <v>200000</v>
      </c>
      <c r="AE157" s="68">
        <v>41833</v>
      </c>
      <c r="AF157" s="68">
        <v>41925</v>
      </c>
      <c r="AG157" s="68">
        <v>42037</v>
      </c>
      <c r="AH157" s="68">
        <v>42223</v>
      </c>
      <c r="AI157" s="68">
        <v>42037</v>
      </c>
      <c r="AJ157" s="68">
        <v>42223</v>
      </c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</row>
    <row r="158" spans="1:55" ht="13.5" customHeight="1">
      <c r="A158" s="8" t="s">
        <v>431</v>
      </c>
      <c r="B158" s="68">
        <v>42291</v>
      </c>
      <c r="C158" s="38" t="s">
        <v>6</v>
      </c>
      <c r="D158" s="8" t="s">
        <v>420</v>
      </c>
      <c r="E158" s="36">
        <v>45.43721111111111</v>
      </c>
      <c r="F158" s="36">
        <v>12.310708333333334</v>
      </c>
      <c r="G158" s="8" t="s">
        <v>420</v>
      </c>
      <c r="H158" s="8" t="s">
        <v>420</v>
      </c>
      <c r="I158" s="8" t="s">
        <v>420</v>
      </c>
      <c r="J158" s="8" t="s">
        <v>432</v>
      </c>
      <c r="K158" s="8" t="s">
        <v>432</v>
      </c>
      <c r="L158" s="93">
        <v>42423</v>
      </c>
      <c r="M158" s="28" t="s">
        <v>72</v>
      </c>
      <c r="N158" s="94" t="s">
        <v>433</v>
      </c>
      <c r="O158" s="42">
        <v>1164591.17</v>
      </c>
      <c r="P158" s="42">
        <v>45166.25</v>
      </c>
      <c r="Q158" s="59">
        <v>0</v>
      </c>
      <c r="R158" s="59">
        <v>0</v>
      </c>
      <c r="S158" s="55">
        <v>0</v>
      </c>
      <c r="T158" s="45">
        <v>0</v>
      </c>
      <c r="U158" s="45">
        <v>0</v>
      </c>
      <c r="V158" s="45">
        <v>0</v>
      </c>
      <c r="W158" s="95">
        <v>0</v>
      </c>
      <c r="X158" s="41">
        <v>0</v>
      </c>
      <c r="Y158" s="42">
        <f t="shared" si="54"/>
        <v>45166.25</v>
      </c>
      <c r="Z158" s="45">
        <v>0</v>
      </c>
      <c r="AA158" s="96">
        <v>274</v>
      </c>
      <c r="AB158" s="44">
        <v>0</v>
      </c>
      <c r="AC158" s="97">
        <v>0</v>
      </c>
      <c r="AD158" s="98">
        <v>0</v>
      </c>
      <c r="AE158" s="68">
        <v>42200</v>
      </c>
      <c r="AF158" s="68">
        <v>42297</v>
      </c>
      <c r="AG158" s="68">
        <v>42443</v>
      </c>
      <c r="AH158" s="68"/>
      <c r="AI158" s="68">
        <v>42443</v>
      </c>
      <c r="AJ158" s="36"/>
      <c r="AK158" s="26"/>
      <c r="AL158" s="57">
        <f>_xlfn.IFERROR(Z158/O158*100,0)</f>
        <v>0</v>
      </c>
      <c r="AM158" s="57">
        <f>_xlfn.IFERROR(AC158/S158*100,0)</f>
        <v>0</v>
      </c>
      <c r="AN158" s="57">
        <f>_xlfn.IFERROR(V158/X158*100,0)</f>
        <v>0</v>
      </c>
      <c r="AO158" s="57">
        <f>_xlfn.IFERROR(W158/AA158*100,0)</f>
        <v>0</v>
      </c>
      <c r="AP158" s="57">
        <f>_xlfn.IFERROR(((W158+AB158)/AA158)*100,0)</f>
        <v>0</v>
      </c>
      <c r="AQ158" s="57">
        <f>_xlfn.IFERROR((AD158/O158)*100,0)</f>
        <v>0</v>
      </c>
      <c r="AR158" s="48">
        <f>_xlfn.IFERROR((Q158/O158)*100,0)</f>
        <v>0</v>
      </c>
      <c r="AS158" s="35" t="s">
        <v>74</v>
      </c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</row>
    <row r="159" spans="1:55" ht="13.5" customHeight="1">
      <c r="A159" s="8" t="s">
        <v>434</v>
      </c>
      <c r="B159" s="68">
        <v>42339</v>
      </c>
      <c r="C159" s="10" t="s">
        <v>6</v>
      </c>
      <c r="D159" s="8" t="s">
        <v>420</v>
      </c>
      <c r="E159" s="8"/>
      <c r="F159" s="8"/>
      <c r="G159" s="8" t="s">
        <v>420</v>
      </c>
      <c r="H159" s="8" t="s">
        <v>420</v>
      </c>
      <c r="I159" s="8" t="s">
        <v>420</v>
      </c>
      <c r="J159" s="33" t="s">
        <v>435</v>
      </c>
      <c r="K159" s="33" t="s">
        <v>435</v>
      </c>
      <c r="L159" s="93">
        <v>42467</v>
      </c>
      <c r="M159" s="28" t="s">
        <v>56</v>
      </c>
      <c r="N159" s="94" t="s">
        <v>436</v>
      </c>
      <c r="O159" s="45">
        <v>0</v>
      </c>
      <c r="P159" s="45">
        <v>308165.72</v>
      </c>
      <c r="Q159" s="59">
        <v>0</v>
      </c>
      <c r="R159" s="59">
        <v>0</v>
      </c>
      <c r="S159" s="55">
        <v>0</v>
      </c>
      <c r="T159" s="45">
        <v>0</v>
      </c>
      <c r="U159" s="45">
        <v>0</v>
      </c>
      <c r="V159" s="45">
        <v>0</v>
      </c>
      <c r="W159" s="95">
        <v>0</v>
      </c>
      <c r="X159" s="41">
        <v>0</v>
      </c>
      <c r="Y159" s="42">
        <f t="shared" si="54"/>
        <v>308165.72</v>
      </c>
      <c r="Z159" s="45">
        <v>0</v>
      </c>
      <c r="AA159" s="96">
        <v>540</v>
      </c>
      <c r="AB159" s="20">
        <v>0</v>
      </c>
      <c r="AC159" s="97">
        <v>0</v>
      </c>
      <c r="AD159" s="98">
        <v>0</v>
      </c>
      <c r="AE159" s="36"/>
      <c r="AF159" s="36"/>
      <c r="AG159" s="36"/>
      <c r="AH159" s="36"/>
      <c r="AI159" s="36"/>
      <c r="AJ159" s="3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</row>
    <row r="160" spans="1:55" ht="13.5" customHeight="1">
      <c r="A160" s="8" t="s">
        <v>437</v>
      </c>
      <c r="B160" s="68">
        <v>42339</v>
      </c>
      <c r="C160" s="10" t="s">
        <v>6</v>
      </c>
      <c r="D160" s="8" t="s">
        <v>420</v>
      </c>
      <c r="E160" s="8"/>
      <c r="F160" s="8"/>
      <c r="G160" s="8" t="s">
        <v>420</v>
      </c>
      <c r="H160" s="8" t="s">
        <v>420</v>
      </c>
      <c r="I160" s="8" t="s">
        <v>420</v>
      </c>
      <c r="J160" s="33" t="s">
        <v>438</v>
      </c>
      <c r="K160" s="33" t="s">
        <v>438</v>
      </c>
      <c r="L160" s="93">
        <v>42479</v>
      </c>
      <c r="M160" s="28" t="s">
        <v>56</v>
      </c>
      <c r="N160" s="94" t="s">
        <v>439</v>
      </c>
      <c r="O160" s="42">
        <v>7659305.2</v>
      </c>
      <c r="P160" s="45">
        <v>488155.36</v>
      </c>
      <c r="Q160" s="59">
        <v>0</v>
      </c>
      <c r="R160" s="59">
        <v>0</v>
      </c>
      <c r="S160" s="55">
        <v>630</v>
      </c>
      <c r="T160" s="45">
        <v>0</v>
      </c>
      <c r="U160" s="45">
        <v>0</v>
      </c>
      <c r="V160" s="45">
        <v>0</v>
      </c>
      <c r="W160" s="61">
        <v>0</v>
      </c>
      <c r="X160" s="41">
        <v>0</v>
      </c>
      <c r="Y160" s="42">
        <f t="shared" si="54"/>
        <v>488155.36</v>
      </c>
      <c r="Z160" s="45">
        <v>0</v>
      </c>
      <c r="AA160" s="96">
        <v>630</v>
      </c>
      <c r="AB160" s="20">
        <v>0</v>
      </c>
      <c r="AC160" s="97">
        <v>0</v>
      </c>
      <c r="AD160" s="98">
        <v>0</v>
      </c>
      <c r="AE160" s="68">
        <v>41518</v>
      </c>
      <c r="AF160" s="68">
        <v>41576</v>
      </c>
      <c r="AG160" s="36"/>
      <c r="AH160" s="36"/>
      <c r="AI160" s="36"/>
      <c r="AJ160" s="3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</row>
    <row r="161" spans="1:55" ht="13.5" customHeight="1">
      <c r="A161" s="11" t="s">
        <v>440</v>
      </c>
      <c r="B161" s="9">
        <v>39841</v>
      </c>
      <c r="C161" s="10" t="s">
        <v>6</v>
      </c>
      <c r="D161" s="11" t="s">
        <v>441</v>
      </c>
      <c r="E161" s="11"/>
      <c r="F161" s="11"/>
      <c r="G161" s="11" t="s">
        <v>442</v>
      </c>
      <c r="H161" s="11" t="s">
        <v>443</v>
      </c>
      <c r="I161" s="11" t="s">
        <v>441</v>
      </c>
      <c r="J161" s="10" t="s">
        <v>444</v>
      </c>
      <c r="K161" s="10" t="s">
        <v>445</v>
      </c>
      <c r="L161" s="12">
        <v>42459</v>
      </c>
      <c r="M161" s="28" t="s">
        <v>56</v>
      </c>
      <c r="N161" s="14" t="s">
        <v>103</v>
      </c>
      <c r="O161" s="79">
        <v>20734737.11</v>
      </c>
      <c r="P161" s="79">
        <v>452271.03</v>
      </c>
      <c r="Q161" s="79">
        <v>20734737.11</v>
      </c>
      <c r="R161" s="15">
        <v>0</v>
      </c>
      <c r="S161" s="29">
        <v>480</v>
      </c>
      <c r="T161" s="79">
        <v>0</v>
      </c>
      <c r="U161" s="79">
        <v>0</v>
      </c>
      <c r="V161" s="79">
        <v>0</v>
      </c>
      <c r="W161" s="20">
        <v>0</v>
      </c>
      <c r="X161" s="15">
        <v>21187008.14</v>
      </c>
      <c r="Y161" s="30">
        <f t="shared" si="54"/>
        <v>452271.03</v>
      </c>
      <c r="Z161" s="79">
        <v>0</v>
      </c>
      <c r="AA161" s="29">
        <f>S161+W161</f>
        <v>480</v>
      </c>
      <c r="AB161" s="20">
        <v>0</v>
      </c>
      <c r="AC161" s="20">
        <v>0</v>
      </c>
      <c r="AD161" s="15">
        <v>0</v>
      </c>
      <c r="AE161" s="9">
        <v>41729</v>
      </c>
      <c r="AF161" s="9">
        <v>42381</v>
      </c>
      <c r="AG161" s="9"/>
      <c r="AH161" s="9"/>
      <c r="AI161" s="9"/>
      <c r="AJ161" s="9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</row>
    <row r="162" spans="1:55" ht="13.5" customHeight="1">
      <c r="A162" s="33" t="s">
        <v>446</v>
      </c>
      <c r="B162" s="9"/>
      <c r="C162" s="10" t="s">
        <v>6</v>
      </c>
      <c r="D162" s="11" t="s">
        <v>441</v>
      </c>
      <c r="E162" s="11"/>
      <c r="F162" s="11"/>
      <c r="G162" s="11" t="s">
        <v>441</v>
      </c>
      <c r="H162" s="11" t="s">
        <v>441</v>
      </c>
      <c r="I162" s="11" t="s">
        <v>441</v>
      </c>
      <c r="J162" s="10" t="s">
        <v>447</v>
      </c>
      <c r="K162" s="10" t="s">
        <v>445</v>
      </c>
      <c r="L162" s="12">
        <v>42459</v>
      </c>
      <c r="M162" s="28" t="s">
        <v>56</v>
      </c>
      <c r="N162" s="14" t="s">
        <v>103</v>
      </c>
      <c r="O162" s="99">
        <v>0</v>
      </c>
      <c r="P162" s="99">
        <v>0</v>
      </c>
      <c r="Q162" s="79">
        <v>2000000</v>
      </c>
      <c r="R162" s="15">
        <v>0</v>
      </c>
      <c r="S162" s="16">
        <v>0</v>
      </c>
      <c r="T162" s="79">
        <v>0</v>
      </c>
      <c r="U162" s="79">
        <v>0</v>
      </c>
      <c r="V162" s="79">
        <v>0</v>
      </c>
      <c r="W162" s="20">
        <v>0</v>
      </c>
      <c r="X162" s="79">
        <v>0</v>
      </c>
      <c r="Y162" s="79">
        <v>0</v>
      </c>
      <c r="Z162" s="79">
        <v>0</v>
      </c>
      <c r="AA162" s="100">
        <v>0</v>
      </c>
      <c r="AB162" s="17">
        <v>0</v>
      </c>
      <c r="AC162" s="17">
        <v>0</v>
      </c>
      <c r="AD162" s="19">
        <v>0</v>
      </c>
      <c r="AE162" s="22"/>
      <c r="AF162" s="22"/>
      <c r="AG162" s="22"/>
      <c r="AH162" s="9"/>
      <c r="AI162" s="9"/>
      <c r="AJ162" s="9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</row>
    <row r="163" spans="1:55" ht="13.5" customHeight="1">
      <c r="A163" s="33" t="s">
        <v>446</v>
      </c>
      <c r="B163" s="9"/>
      <c r="C163" s="10" t="s">
        <v>6</v>
      </c>
      <c r="D163" s="11" t="s">
        <v>441</v>
      </c>
      <c r="E163" s="11"/>
      <c r="F163" s="11"/>
      <c r="G163" s="11" t="s">
        <v>441</v>
      </c>
      <c r="H163" s="11" t="s">
        <v>441</v>
      </c>
      <c r="I163" s="11" t="s">
        <v>441</v>
      </c>
      <c r="J163" s="10" t="s">
        <v>448</v>
      </c>
      <c r="K163" s="10" t="s">
        <v>445</v>
      </c>
      <c r="L163" s="12">
        <v>42459</v>
      </c>
      <c r="M163" s="28" t="s">
        <v>56</v>
      </c>
      <c r="N163" s="14" t="s">
        <v>103</v>
      </c>
      <c r="O163" s="99">
        <v>0</v>
      </c>
      <c r="P163" s="99">
        <v>0</v>
      </c>
      <c r="Q163" s="79">
        <v>1500000</v>
      </c>
      <c r="R163" s="15">
        <v>0</v>
      </c>
      <c r="S163" s="29">
        <v>400</v>
      </c>
      <c r="T163" s="79">
        <v>0</v>
      </c>
      <c r="U163" s="79">
        <v>0</v>
      </c>
      <c r="V163" s="79">
        <v>0</v>
      </c>
      <c r="W163" s="20">
        <v>0</v>
      </c>
      <c r="X163" s="79">
        <v>0</v>
      </c>
      <c r="Y163" s="79">
        <v>0</v>
      </c>
      <c r="Z163" s="79">
        <v>0</v>
      </c>
      <c r="AA163" s="100">
        <v>0</v>
      </c>
      <c r="AB163" s="17">
        <v>0</v>
      </c>
      <c r="AC163" s="17">
        <v>0</v>
      </c>
      <c r="AD163" s="19">
        <v>0</v>
      </c>
      <c r="AE163" s="22"/>
      <c r="AF163" s="22"/>
      <c r="AG163" s="9"/>
      <c r="AH163" s="9"/>
      <c r="AI163" s="9"/>
      <c r="AJ163" s="9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</row>
    <row r="164" spans="1:55" ht="13.5" customHeight="1">
      <c r="A164" s="33" t="s">
        <v>446</v>
      </c>
      <c r="B164" s="9"/>
      <c r="C164" s="10" t="s">
        <v>6</v>
      </c>
      <c r="D164" s="11" t="s">
        <v>441</v>
      </c>
      <c r="E164" s="11"/>
      <c r="F164" s="11"/>
      <c r="G164" s="11" t="s">
        <v>441</v>
      </c>
      <c r="H164" s="11" t="s">
        <v>441</v>
      </c>
      <c r="I164" s="11" t="s">
        <v>441</v>
      </c>
      <c r="J164" s="10" t="s">
        <v>449</v>
      </c>
      <c r="K164" s="10" t="s">
        <v>445</v>
      </c>
      <c r="L164" s="12">
        <v>42459</v>
      </c>
      <c r="M164" s="28" t="s">
        <v>56</v>
      </c>
      <c r="N164" s="14" t="s">
        <v>103</v>
      </c>
      <c r="O164" s="99">
        <v>0</v>
      </c>
      <c r="P164" s="99">
        <v>0</v>
      </c>
      <c r="Q164" s="79">
        <v>2000000</v>
      </c>
      <c r="R164" s="15">
        <v>0</v>
      </c>
      <c r="S164" s="16">
        <v>0</v>
      </c>
      <c r="T164" s="79">
        <v>0</v>
      </c>
      <c r="U164" s="79">
        <v>0</v>
      </c>
      <c r="V164" s="79">
        <v>0</v>
      </c>
      <c r="W164" s="20">
        <v>0</v>
      </c>
      <c r="X164" s="79">
        <v>0</v>
      </c>
      <c r="Y164" s="79">
        <v>0</v>
      </c>
      <c r="Z164" s="79">
        <v>0</v>
      </c>
      <c r="AA164" s="100">
        <v>0</v>
      </c>
      <c r="AB164" s="17">
        <v>0</v>
      </c>
      <c r="AC164" s="17">
        <v>0</v>
      </c>
      <c r="AD164" s="19">
        <v>0</v>
      </c>
      <c r="AE164" s="22"/>
      <c r="AF164" s="22"/>
      <c r="AG164" s="9"/>
      <c r="AH164" s="9"/>
      <c r="AI164" s="9"/>
      <c r="AJ164" s="9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</row>
    <row r="165" spans="1:55" ht="13.5" customHeight="1">
      <c r="A165" s="11" t="s">
        <v>450</v>
      </c>
      <c r="B165" s="9">
        <v>41898</v>
      </c>
      <c r="C165" s="10" t="s">
        <v>6</v>
      </c>
      <c r="D165" s="11" t="s">
        <v>441</v>
      </c>
      <c r="E165" s="11"/>
      <c r="F165" s="11"/>
      <c r="G165" s="11" t="s">
        <v>441</v>
      </c>
      <c r="H165" s="11" t="s">
        <v>441</v>
      </c>
      <c r="I165" s="11" t="s">
        <v>441</v>
      </c>
      <c r="J165" s="10" t="s">
        <v>451</v>
      </c>
      <c r="K165" s="10" t="s">
        <v>445</v>
      </c>
      <c r="L165" s="12">
        <v>42459</v>
      </c>
      <c r="M165" s="28" t="s">
        <v>56</v>
      </c>
      <c r="N165" s="14" t="s">
        <v>103</v>
      </c>
      <c r="O165" s="79">
        <v>5429024.24</v>
      </c>
      <c r="P165" s="79">
        <v>158126.89</v>
      </c>
      <c r="Q165" s="79">
        <v>5429024.24</v>
      </c>
      <c r="R165" s="15">
        <v>0</v>
      </c>
      <c r="S165" s="29">
        <v>600</v>
      </c>
      <c r="T165" s="79">
        <v>0</v>
      </c>
      <c r="U165" s="79">
        <v>0</v>
      </c>
      <c r="V165" s="79">
        <v>0</v>
      </c>
      <c r="W165" s="20">
        <v>0</v>
      </c>
      <c r="X165" s="79">
        <v>0</v>
      </c>
      <c r="Y165" s="79">
        <v>0</v>
      </c>
      <c r="Z165" s="79">
        <v>0</v>
      </c>
      <c r="AA165" s="29">
        <v>600</v>
      </c>
      <c r="AB165" s="20">
        <v>0</v>
      </c>
      <c r="AC165" s="20">
        <v>0</v>
      </c>
      <c r="AD165" s="15">
        <v>0</v>
      </c>
      <c r="AE165" s="9"/>
      <c r="AF165" s="9"/>
      <c r="AG165" s="9"/>
      <c r="AH165" s="9"/>
      <c r="AI165" s="9"/>
      <c r="AJ165" s="9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</row>
    <row r="166" spans="1:55" ht="13.5" customHeight="1">
      <c r="A166" s="11" t="s">
        <v>452</v>
      </c>
      <c r="B166" s="9"/>
      <c r="C166" s="10" t="s">
        <v>6</v>
      </c>
      <c r="D166" s="11" t="s">
        <v>441</v>
      </c>
      <c r="E166" s="11"/>
      <c r="F166" s="11"/>
      <c r="G166" s="11" t="s">
        <v>441</v>
      </c>
      <c r="H166" s="11" t="s">
        <v>441</v>
      </c>
      <c r="I166" s="11" t="s">
        <v>441</v>
      </c>
      <c r="J166" s="10" t="s">
        <v>453</v>
      </c>
      <c r="K166" s="33" t="s">
        <v>454</v>
      </c>
      <c r="L166" s="12">
        <v>42459</v>
      </c>
      <c r="M166" s="28" t="s">
        <v>56</v>
      </c>
      <c r="N166" s="14" t="s">
        <v>103</v>
      </c>
      <c r="O166" s="79">
        <v>63251747.71</v>
      </c>
      <c r="P166" s="79">
        <v>675000</v>
      </c>
      <c r="Q166" s="79">
        <v>63251747.71</v>
      </c>
      <c r="R166" s="15">
        <v>0</v>
      </c>
      <c r="S166" s="29">
        <f>18*31</f>
        <v>558</v>
      </c>
      <c r="T166" s="79">
        <v>0</v>
      </c>
      <c r="U166" s="79">
        <v>0</v>
      </c>
      <c r="V166" s="79">
        <v>0</v>
      </c>
      <c r="W166" s="20">
        <v>0</v>
      </c>
      <c r="X166" s="15">
        <v>63926747.71</v>
      </c>
      <c r="Y166" s="15">
        <v>675000</v>
      </c>
      <c r="Z166" s="79">
        <v>0</v>
      </c>
      <c r="AA166" s="29">
        <f>18*31</f>
        <v>558</v>
      </c>
      <c r="AB166" s="20">
        <v>0</v>
      </c>
      <c r="AC166" s="20">
        <v>0</v>
      </c>
      <c r="AD166" s="15">
        <v>0</v>
      </c>
      <c r="AE166" s="9"/>
      <c r="AF166" s="9"/>
      <c r="AG166" s="9"/>
      <c r="AH166" s="9"/>
      <c r="AI166" s="9"/>
      <c r="AJ166" s="9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</row>
    <row r="167" spans="1:55" ht="13.5" customHeight="1">
      <c r="A167" s="11" t="s">
        <v>455</v>
      </c>
      <c r="B167" s="9">
        <v>39841</v>
      </c>
      <c r="C167" s="10" t="s">
        <v>6</v>
      </c>
      <c r="D167" s="11" t="s">
        <v>441</v>
      </c>
      <c r="E167" s="11"/>
      <c r="F167" s="11"/>
      <c r="G167" s="11" t="s">
        <v>441</v>
      </c>
      <c r="H167" s="11" t="s">
        <v>441</v>
      </c>
      <c r="I167" s="11" t="s">
        <v>441</v>
      </c>
      <c r="J167" s="10" t="s">
        <v>456</v>
      </c>
      <c r="K167" s="10" t="s">
        <v>445</v>
      </c>
      <c r="L167" s="12">
        <v>42459</v>
      </c>
      <c r="M167" s="28" t="s">
        <v>56</v>
      </c>
      <c r="N167" s="14" t="s">
        <v>103</v>
      </c>
      <c r="O167" s="19">
        <v>0</v>
      </c>
      <c r="P167" s="19">
        <v>0</v>
      </c>
      <c r="Q167" s="79">
        <v>2000000</v>
      </c>
      <c r="R167" s="15">
        <v>0</v>
      </c>
      <c r="S167" s="16">
        <v>0</v>
      </c>
      <c r="T167" s="19">
        <v>0</v>
      </c>
      <c r="U167" s="19">
        <v>0</v>
      </c>
      <c r="V167" s="19">
        <v>0</v>
      </c>
      <c r="W167" s="17">
        <v>0</v>
      </c>
      <c r="X167" s="19">
        <v>0</v>
      </c>
      <c r="Y167" s="19">
        <v>0</v>
      </c>
      <c r="Z167" s="19">
        <v>0</v>
      </c>
      <c r="AA167" s="100">
        <v>0</v>
      </c>
      <c r="AB167" s="20">
        <v>0</v>
      </c>
      <c r="AC167" s="20">
        <v>0</v>
      </c>
      <c r="AD167" s="15">
        <v>0</v>
      </c>
      <c r="AE167" s="9"/>
      <c r="AF167" s="9"/>
      <c r="AG167" s="9"/>
      <c r="AH167" s="9"/>
      <c r="AI167" s="9"/>
      <c r="AJ167" s="9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</row>
    <row r="168" spans="1:55" ht="13.5" customHeight="1">
      <c r="A168" s="33" t="s">
        <v>446</v>
      </c>
      <c r="B168" s="9"/>
      <c r="C168" s="10" t="s">
        <v>6</v>
      </c>
      <c r="D168" s="11" t="s">
        <v>441</v>
      </c>
      <c r="E168" s="11"/>
      <c r="F168" s="11"/>
      <c r="G168" s="11" t="s">
        <v>441</v>
      </c>
      <c r="H168" s="11" t="s">
        <v>441</v>
      </c>
      <c r="I168" s="11" t="s">
        <v>441</v>
      </c>
      <c r="J168" s="10" t="s">
        <v>457</v>
      </c>
      <c r="K168" s="10" t="s">
        <v>445</v>
      </c>
      <c r="L168" s="12">
        <v>42459</v>
      </c>
      <c r="M168" s="28" t="s">
        <v>56</v>
      </c>
      <c r="N168" s="14" t="s">
        <v>103</v>
      </c>
      <c r="O168" s="19">
        <v>0</v>
      </c>
      <c r="P168" s="19">
        <v>0</v>
      </c>
      <c r="Q168" s="79">
        <v>1500000</v>
      </c>
      <c r="R168" s="15">
        <v>0</v>
      </c>
      <c r="S168" s="16">
        <v>0</v>
      </c>
      <c r="T168" s="19">
        <v>0</v>
      </c>
      <c r="U168" s="19">
        <v>0</v>
      </c>
      <c r="V168" s="19">
        <v>0</v>
      </c>
      <c r="W168" s="17">
        <v>0</v>
      </c>
      <c r="X168" s="19">
        <v>0</v>
      </c>
      <c r="Y168" s="19">
        <v>0</v>
      </c>
      <c r="Z168" s="19">
        <v>0</v>
      </c>
      <c r="AA168" s="100">
        <v>0</v>
      </c>
      <c r="AB168" s="20">
        <v>0</v>
      </c>
      <c r="AC168" s="20">
        <v>0</v>
      </c>
      <c r="AD168" s="15">
        <v>0</v>
      </c>
      <c r="AE168" s="9"/>
      <c r="AF168" s="9"/>
      <c r="AG168" s="9"/>
      <c r="AH168" s="9"/>
      <c r="AI168" s="9"/>
      <c r="AJ168" s="9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</row>
    <row r="169" spans="1:55" ht="13.5" customHeight="1">
      <c r="A169" s="33" t="s">
        <v>446</v>
      </c>
      <c r="B169" s="9"/>
      <c r="C169" s="10" t="s">
        <v>6</v>
      </c>
      <c r="D169" s="11" t="s">
        <v>441</v>
      </c>
      <c r="E169" s="11"/>
      <c r="F169" s="11"/>
      <c r="G169" s="11" t="s">
        <v>441</v>
      </c>
      <c r="H169" s="11" t="s">
        <v>441</v>
      </c>
      <c r="I169" s="11" t="s">
        <v>441</v>
      </c>
      <c r="J169" s="10" t="s">
        <v>458</v>
      </c>
      <c r="K169" s="10" t="s">
        <v>445</v>
      </c>
      <c r="L169" s="12">
        <v>42459</v>
      </c>
      <c r="M169" s="28" t="s">
        <v>56</v>
      </c>
      <c r="N169" s="14" t="s">
        <v>103</v>
      </c>
      <c r="O169" s="19">
        <v>0</v>
      </c>
      <c r="P169" s="19">
        <v>0</v>
      </c>
      <c r="Q169" s="79">
        <v>1833928</v>
      </c>
      <c r="R169" s="15">
        <v>0</v>
      </c>
      <c r="S169" s="29">
        <v>60</v>
      </c>
      <c r="T169" s="79">
        <v>0</v>
      </c>
      <c r="U169" s="79">
        <v>0</v>
      </c>
      <c r="V169" s="79">
        <v>0</v>
      </c>
      <c r="W169" s="20">
        <v>0</v>
      </c>
      <c r="X169" s="79">
        <v>0</v>
      </c>
      <c r="Y169" s="79">
        <v>0</v>
      </c>
      <c r="Z169" s="79">
        <v>0</v>
      </c>
      <c r="AA169" s="29">
        <v>60</v>
      </c>
      <c r="AB169" s="20">
        <v>0</v>
      </c>
      <c r="AC169" s="20">
        <v>0</v>
      </c>
      <c r="AD169" s="15">
        <v>0</v>
      </c>
      <c r="AE169" s="9"/>
      <c r="AF169" s="9"/>
      <c r="AG169" s="9"/>
      <c r="AH169" s="9"/>
      <c r="AI169" s="9"/>
      <c r="AJ169" s="9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</row>
    <row r="170" spans="1:55" ht="13.5" customHeight="1">
      <c r="A170" s="11" t="s">
        <v>459</v>
      </c>
      <c r="B170" s="9">
        <v>39840</v>
      </c>
      <c r="C170" s="10" t="s">
        <v>6</v>
      </c>
      <c r="D170" s="11" t="s">
        <v>441</v>
      </c>
      <c r="E170" s="11"/>
      <c r="F170" s="11"/>
      <c r="G170" s="11" t="s">
        <v>441</v>
      </c>
      <c r="H170" s="11" t="s">
        <v>441</v>
      </c>
      <c r="I170" s="11" t="s">
        <v>441</v>
      </c>
      <c r="J170" s="10" t="s">
        <v>460</v>
      </c>
      <c r="K170" s="10" t="s">
        <v>445</v>
      </c>
      <c r="L170" s="12">
        <v>42459</v>
      </c>
      <c r="M170" s="28" t="s">
        <v>56</v>
      </c>
      <c r="N170" s="14" t="s">
        <v>103</v>
      </c>
      <c r="O170" s="19">
        <v>0</v>
      </c>
      <c r="P170" s="19">
        <v>0</v>
      </c>
      <c r="Q170" s="79">
        <v>13900000</v>
      </c>
      <c r="R170" s="15">
        <v>0</v>
      </c>
      <c r="S170" s="16">
        <v>0</v>
      </c>
      <c r="T170" s="19">
        <v>0</v>
      </c>
      <c r="U170" s="19">
        <v>0</v>
      </c>
      <c r="V170" s="19">
        <v>0</v>
      </c>
      <c r="W170" s="17">
        <v>0</v>
      </c>
      <c r="X170" s="19">
        <v>0</v>
      </c>
      <c r="Y170" s="19">
        <v>0</v>
      </c>
      <c r="Z170" s="19">
        <v>0</v>
      </c>
      <c r="AA170" s="100">
        <v>0</v>
      </c>
      <c r="AB170" s="20">
        <v>0</v>
      </c>
      <c r="AC170" s="20">
        <v>0</v>
      </c>
      <c r="AD170" s="15">
        <v>0</v>
      </c>
      <c r="AE170" s="9"/>
      <c r="AF170" s="9"/>
      <c r="AG170" s="9"/>
      <c r="AH170" s="9"/>
      <c r="AI170" s="9"/>
      <c r="AJ170" s="9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</row>
    <row r="171" spans="1:55" ht="13.5" customHeight="1">
      <c r="A171" s="33" t="s">
        <v>446</v>
      </c>
      <c r="B171" s="9"/>
      <c r="C171" s="10" t="s">
        <v>6</v>
      </c>
      <c r="D171" s="11" t="s">
        <v>441</v>
      </c>
      <c r="E171" s="11"/>
      <c r="F171" s="11"/>
      <c r="G171" s="11" t="s">
        <v>441</v>
      </c>
      <c r="H171" s="11" t="s">
        <v>441</v>
      </c>
      <c r="I171" s="11" t="s">
        <v>441</v>
      </c>
      <c r="J171" s="10" t="s">
        <v>461</v>
      </c>
      <c r="K171" s="10" t="s">
        <v>445</v>
      </c>
      <c r="L171" s="12">
        <v>42459</v>
      </c>
      <c r="M171" s="28" t="s">
        <v>56</v>
      </c>
      <c r="N171" s="14" t="s">
        <v>103</v>
      </c>
      <c r="O171" s="19">
        <v>0</v>
      </c>
      <c r="P171" s="19">
        <v>0</v>
      </c>
      <c r="Q171" s="79">
        <v>19300000</v>
      </c>
      <c r="R171" s="15">
        <v>0</v>
      </c>
      <c r="S171" s="16">
        <v>0</v>
      </c>
      <c r="T171" s="19">
        <v>0</v>
      </c>
      <c r="U171" s="19">
        <v>0</v>
      </c>
      <c r="V171" s="19">
        <v>0</v>
      </c>
      <c r="W171" s="17">
        <v>0</v>
      </c>
      <c r="X171" s="19">
        <v>0</v>
      </c>
      <c r="Y171" s="19">
        <v>0</v>
      </c>
      <c r="Z171" s="19">
        <v>0</v>
      </c>
      <c r="AA171" s="100">
        <v>0</v>
      </c>
      <c r="AB171" s="20">
        <v>0</v>
      </c>
      <c r="AC171" s="20">
        <v>0</v>
      </c>
      <c r="AD171" s="15">
        <v>0</v>
      </c>
      <c r="AE171" s="9"/>
      <c r="AF171" s="9"/>
      <c r="AG171" s="9"/>
      <c r="AH171" s="9"/>
      <c r="AI171" s="9"/>
      <c r="AJ171" s="9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</row>
    <row r="172" spans="1:55" ht="13.5" customHeight="1">
      <c r="A172" s="33" t="s">
        <v>446</v>
      </c>
      <c r="B172" s="9"/>
      <c r="C172" s="10" t="s">
        <v>6</v>
      </c>
      <c r="D172" s="11" t="s">
        <v>441</v>
      </c>
      <c r="E172" s="11"/>
      <c r="F172" s="11"/>
      <c r="G172" s="11" t="s">
        <v>441</v>
      </c>
      <c r="H172" s="11" t="s">
        <v>441</v>
      </c>
      <c r="I172" s="11" t="s">
        <v>441</v>
      </c>
      <c r="J172" s="10" t="s">
        <v>462</v>
      </c>
      <c r="K172" s="10" t="s">
        <v>445</v>
      </c>
      <c r="L172" s="12">
        <v>42459</v>
      </c>
      <c r="M172" s="28" t="s">
        <v>56</v>
      </c>
      <c r="N172" s="14" t="s">
        <v>103</v>
      </c>
      <c r="O172" s="19">
        <v>0</v>
      </c>
      <c r="P172" s="19">
        <v>0</v>
      </c>
      <c r="Q172" s="79">
        <v>2000000</v>
      </c>
      <c r="R172" s="15">
        <v>0</v>
      </c>
      <c r="S172" s="16">
        <v>0</v>
      </c>
      <c r="T172" s="19">
        <v>0</v>
      </c>
      <c r="U172" s="19">
        <v>0</v>
      </c>
      <c r="V172" s="19">
        <v>0</v>
      </c>
      <c r="W172" s="17">
        <v>0</v>
      </c>
      <c r="X172" s="19">
        <v>0</v>
      </c>
      <c r="Y172" s="19">
        <v>0</v>
      </c>
      <c r="Z172" s="19">
        <v>0</v>
      </c>
      <c r="AA172" s="100">
        <v>0</v>
      </c>
      <c r="AB172" s="20">
        <v>0</v>
      </c>
      <c r="AC172" s="20">
        <v>0</v>
      </c>
      <c r="AD172" s="15">
        <v>0</v>
      </c>
      <c r="AE172" s="9"/>
      <c r="AF172" s="9"/>
      <c r="AG172" s="9"/>
      <c r="AH172" s="9"/>
      <c r="AI172" s="9"/>
      <c r="AJ172" s="9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</row>
    <row r="173" spans="1:55" ht="13.5" customHeight="1">
      <c r="A173" s="11" t="s">
        <v>463</v>
      </c>
      <c r="B173" s="9">
        <v>39840</v>
      </c>
      <c r="C173" s="10" t="s">
        <v>6</v>
      </c>
      <c r="D173" s="11" t="s">
        <v>441</v>
      </c>
      <c r="E173" s="11"/>
      <c r="F173" s="11"/>
      <c r="G173" s="11" t="s">
        <v>441</v>
      </c>
      <c r="H173" s="11" t="s">
        <v>441</v>
      </c>
      <c r="I173" s="11" t="s">
        <v>441</v>
      </c>
      <c r="J173" s="10" t="s">
        <v>464</v>
      </c>
      <c r="K173" s="10" t="s">
        <v>445</v>
      </c>
      <c r="L173" s="12">
        <v>42459</v>
      </c>
      <c r="M173" s="28" t="s">
        <v>56</v>
      </c>
      <c r="N173" s="14" t="s">
        <v>103</v>
      </c>
      <c r="O173" s="19">
        <v>0</v>
      </c>
      <c r="P173" s="19">
        <v>0</v>
      </c>
      <c r="Q173" s="79">
        <v>8134000</v>
      </c>
      <c r="R173" s="15">
        <v>0</v>
      </c>
      <c r="S173" s="16">
        <v>0</v>
      </c>
      <c r="T173" s="19">
        <v>0</v>
      </c>
      <c r="U173" s="19">
        <v>0</v>
      </c>
      <c r="V173" s="19">
        <v>0</v>
      </c>
      <c r="W173" s="17">
        <v>0</v>
      </c>
      <c r="X173" s="19">
        <v>0</v>
      </c>
      <c r="Y173" s="19">
        <v>0</v>
      </c>
      <c r="Z173" s="19">
        <v>0</v>
      </c>
      <c r="AA173" s="100">
        <v>0</v>
      </c>
      <c r="AB173" s="20">
        <v>0</v>
      </c>
      <c r="AC173" s="20">
        <v>0</v>
      </c>
      <c r="AD173" s="15">
        <v>0</v>
      </c>
      <c r="AE173" s="9"/>
      <c r="AF173" s="9"/>
      <c r="AG173" s="9"/>
      <c r="AH173" s="9"/>
      <c r="AI173" s="9"/>
      <c r="AJ173" s="9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</row>
    <row r="174" spans="1:55" ht="13.5" customHeight="1">
      <c r="A174" s="33" t="s">
        <v>446</v>
      </c>
      <c r="B174" s="9"/>
      <c r="C174" s="10" t="s">
        <v>6</v>
      </c>
      <c r="D174" s="11" t="s">
        <v>441</v>
      </c>
      <c r="E174" s="11"/>
      <c r="F174" s="11"/>
      <c r="G174" s="11" t="s">
        <v>441</v>
      </c>
      <c r="H174" s="11" t="s">
        <v>441</v>
      </c>
      <c r="I174" s="11" t="s">
        <v>441</v>
      </c>
      <c r="J174" s="10" t="s">
        <v>465</v>
      </c>
      <c r="K174" s="10" t="s">
        <v>445</v>
      </c>
      <c r="L174" s="12">
        <v>42459</v>
      </c>
      <c r="M174" s="28" t="s">
        <v>56</v>
      </c>
      <c r="N174" s="14" t="s">
        <v>103</v>
      </c>
      <c r="O174" s="19">
        <v>0</v>
      </c>
      <c r="P174" s="19">
        <v>0</v>
      </c>
      <c r="Q174" s="79">
        <v>23000000</v>
      </c>
      <c r="R174" s="15">
        <v>0</v>
      </c>
      <c r="S174" s="16">
        <v>0</v>
      </c>
      <c r="T174" s="19">
        <v>0</v>
      </c>
      <c r="U174" s="19">
        <v>0</v>
      </c>
      <c r="V174" s="19">
        <v>0</v>
      </c>
      <c r="W174" s="17">
        <v>0</v>
      </c>
      <c r="X174" s="19">
        <v>0</v>
      </c>
      <c r="Y174" s="19">
        <v>0</v>
      </c>
      <c r="Z174" s="19">
        <v>0</v>
      </c>
      <c r="AA174" s="100">
        <v>0</v>
      </c>
      <c r="AB174" s="20">
        <v>0</v>
      </c>
      <c r="AC174" s="20">
        <v>0</v>
      </c>
      <c r="AD174" s="15">
        <v>0</v>
      </c>
      <c r="AE174" s="9"/>
      <c r="AF174" s="9"/>
      <c r="AG174" s="9"/>
      <c r="AH174" s="9"/>
      <c r="AI174" s="9"/>
      <c r="AJ174" s="9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</row>
    <row r="175" spans="1:55" ht="13.5" customHeight="1">
      <c r="A175" s="33" t="s">
        <v>446</v>
      </c>
      <c r="B175" s="9"/>
      <c r="C175" s="10" t="s">
        <v>6</v>
      </c>
      <c r="D175" s="11" t="s">
        <v>441</v>
      </c>
      <c r="E175" s="11"/>
      <c r="F175" s="11"/>
      <c r="G175" s="11" t="s">
        <v>441</v>
      </c>
      <c r="H175" s="11" t="s">
        <v>441</v>
      </c>
      <c r="I175" s="11" t="s">
        <v>441</v>
      </c>
      <c r="J175" s="10" t="s">
        <v>466</v>
      </c>
      <c r="K175" s="10" t="s">
        <v>445</v>
      </c>
      <c r="L175" s="12">
        <v>42459</v>
      </c>
      <c r="M175" s="28" t="s">
        <v>56</v>
      </c>
      <c r="N175" s="14" t="s">
        <v>103</v>
      </c>
      <c r="O175" s="19">
        <v>0</v>
      </c>
      <c r="P175" s="19">
        <v>0</v>
      </c>
      <c r="Q175" s="79">
        <v>1500000</v>
      </c>
      <c r="R175" s="15">
        <v>0</v>
      </c>
      <c r="S175" s="16">
        <v>0</v>
      </c>
      <c r="T175" s="19">
        <v>0</v>
      </c>
      <c r="U175" s="19">
        <v>0</v>
      </c>
      <c r="V175" s="19">
        <v>0</v>
      </c>
      <c r="W175" s="17">
        <v>0</v>
      </c>
      <c r="X175" s="19">
        <v>0</v>
      </c>
      <c r="Y175" s="19">
        <v>0</v>
      </c>
      <c r="Z175" s="19">
        <v>0</v>
      </c>
      <c r="AA175" s="100">
        <v>0</v>
      </c>
      <c r="AB175" s="20">
        <v>0</v>
      </c>
      <c r="AC175" s="20">
        <v>0</v>
      </c>
      <c r="AD175" s="15">
        <v>0</v>
      </c>
      <c r="AE175" s="9"/>
      <c r="AF175" s="9"/>
      <c r="AG175" s="9"/>
      <c r="AH175" s="9"/>
      <c r="AI175" s="9"/>
      <c r="AJ175" s="9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</row>
    <row r="176" spans="1:55" ht="13.5" customHeight="1">
      <c r="A176" s="33" t="s">
        <v>467</v>
      </c>
      <c r="B176" s="9">
        <v>39841</v>
      </c>
      <c r="C176" s="33" t="s">
        <v>6</v>
      </c>
      <c r="D176" s="33" t="s">
        <v>441</v>
      </c>
      <c r="E176" s="33"/>
      <c r="F176" s="33"/>
      <c r="G176" s="101" t="s">
        <v>468</v>
      </c>
      <c r="H176" s="101" t="s">
        <v>468</v>
      </c>
      <c r="I176" s="33" t="s">
        <v>441</v>
      </c>
      <c r="J176" s="33" t="s">
        <v>469</v>
      </c>
      <c r="K176" s="10" t="s">
        <v>445</v>
      </c>
      <c r="L176" s="12">
        <v>42459</v>
      </c>
      <c r="M176" s="28" t="s">
        <v>56</v>
      </c>
      <c r="N176" s="33" t="s">
        <v>103</v>
      </c>
      <c r="O176" s="19">
        <v>0</v>
      </c>
      <c r="P176" s="19">
        <v>0</v>
      </c>
      <c r="Q176" s="79">
        <v>1020000</v>
      </c>
      <c r="R176" s="15">
        <v>0</v>
      </c>
      <c r="S176" s="29">
        <v>154</v>
      </c>
      <c r="T176" s="19">
        <v>0</v>
      </c>
      <c r="U176" s="19">
        <v>0</v>
      </c>
      <c r="V176" s="19">
        <v>0</v>
      </c>
      <c r="W176" s="17">
        <v>0</v>
      </c>
      <c r="X176" s="79">
        <v>0</v>
      </c>
      <c r="Y176" s="79">
        <v>0</v>
      </c>
      <c r="Z176" s="79">
        <v>0</v>
      </c>
      <c r="AA176" s="29">
        <f>S176+W176</f>
        <v>154</v>
      </c>
      <c r="AB176" s="20">
        <v>0</v>
      </c>
      <c r="AC176" s="20">
        <v>0</v>
      </c>
      <c r="AD176" s="15">
        <v>0</v>
      </c>
      <c r="AE176" s="9">
        <v>40129</v>
      </c>
      <c r="AF176" s="9">
        <v>41044</v>
      </c>
      <c r="AG176" s="9"/>
      <c r="AH176" s="9"/>
      <c r="AI176" s="9"/>
      <c r="AJ176" s="9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</row>
    <row r="177" spans="1:55" ht="13.5" customHeight="1">
      <c r="A177" s="8" t="s">
        <v>470</v>
      </c>
      <c r="B177" s="37">
        <v>39841</v>
      </c>
      <c r="C177" s="8" t="s">
        <v>6</v>
      </c>
      <c r="D177" s="8" t="s">
        <v>441</v>
      </c>
      <c r="E177" s="36">
        <v>38.18920277777777</v>
      </c>
      <c r="F177" s="36">
        <v>15.560913888888889</v>
      </c>
      <c r="G177" s="8" t="s">
        <v>471</v>
      </c>
      <c r="H177" s="8" t="s">
        <v>471</v>
      </c>
      <c r="I177" s="8" t="s">
        <v>441</v>
      </c>
      <c r="J177" s="38" t="s">
        <v>472</v>
      </c>
      <c r="K177" s="38" t="s">
        <v>445</v>
      </c>
      <c r="L177" s="39">
        <v>42459</v>
      </c>
      <c r="M177" s="28" t="s">
        <v>252</v>
      </c>
      <c r="N177" s="8" t="s">
        <v>253</v>
      </c>
      <c r="O177" s="41">
        <v>1706130.72</v>
      </c>
      <c r="P177" s="41">
        <v>221227</v>
      </c>
      <c r="Q177" s="41">
        <v>1706130.72</v>
      </c>
      <c r="R177" s="42">
        <v>0</v>
      </c>
      <c r="S177" s="43">
        <v>540</v>
      </c>
      <c r="T177" s="41">
        <v>0</v>
      </c>
      <c r="U177" s="41">
        <v>0</v>
      </c>
      <c r="V177" s="41">
        <v>0</v>
      </c>
      <c r="W177" s="44">
        <v>0</v>
      </c>
      <c r="X177" s="41">
        <v>1706130.72</v>
      </c>
      <c r="Y177" s="41">
        <v>221227</v>
      </c>
      <c r="Z177" s="41">
        <v>0</v>
      </c>
      <c r="AA177" s="43">
        <v>540</v>
      </c>
      <c r="AB177" s="44">
        <v>0</v>
      </c>
      <c r="AC177" s="44">
        <v>0</v>
      </c>
      <c r="AD177" s="42">
        <v>0</v>
      </c>
      <c r="AE177" s="37">
        <v>40367</v>
      </c>
      <c r="AF177" s="37">
        <v>42075</v>
      </c>
      <c r="AG177" s="37">
        <v>42644</v>
      </c>
      <c r="AH177" s="37">
        <f>+AG177+540</f>
        <v>43184</v>
      </c>
      <c r="AI177" s="37">
        <v>43191</v>
      </c>
      <c r="AJ177" s="37">
        <v>43191</v>
      </c>
      <c r="AK177" s="26"/>
      <c r="AL177" s="57">
        <f>_xlfn.IFERROR(Z177/O177*100,0)</f>
        <v>0</v>
      </c>
      <c r="AM177" s="57">
        <f>_xlfn.IFERROR(AC177/S177*100,0)</f>
        <v>0</v>
      </c>
      <c r="AN177" s="57">
        <f>_xlfn.IFERROR(V177/X177*100,0)</f>
        <v>0</v>
      </c>
      <c r="AO177" s="57">
        <f>_xlfn.IFERROR(W177/AA177*100,0)</f>
        <v>0</v>
      </c>
      <c r="AP177" s="57">
        <f>_xlfn.IFERROR(((W177+AB177)/AA177)*100,0)</f>
        <v>0</v>
      </c>
      <c r="AQ177" s="57">
        <f>_xlfn.IFERROR((AD177/O177)*100,0)</f>
        <v>0</v>
      </c>
      <c r="AR177" s="48">
        <f>_xlfn.IFERROR((Q177/O177)*100,0)</f>
        <v>100</v>
      </c>
      <c r="AS177" s="35" t="s">
        <v>74</v>
      </c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</row>
    <row r="178" spans="1:55" ht="13.5" customHeight="1">
      <c r="A178" s="33" t="s">
        <v>446</v>
      </c>
      <c r="B178" s="9"/>
      <c r="C178" s="33" t="s">
        <v>473</v>
      </c>
      <c r="D178" s="33" t="s">
        <v>441</v>
      </c>
      <c r="E178" s="33"/>
      <c r="F178" s="33"/>
      <c r="G178" s="33" t="s">
        <v>471</v>
      </c>
      <c r="H178" s="33" t="s">
        <v>471</v>
      </c>
      <c r="I178" s="33" t="s">
        <v>441</v>
      </c>
      <c r="J178" s="10" t="s">
        <v>474</v>
      </c>
      <c r="K178" s="10" t="s">
        <v>445</v>
      </c>
      <c r="L178" s="12">
        <v>42459</v>
      </c>
      <c r="M178" s="28" t="s">
        <v>56</v>
      </c>
      <c r="N178" s="14" t="s">
        <v>475</v>
      </c>
      <c r="O178" s="19">
        <v>0</v>
      </c>
      <c r="P178" s="19">
        <v>0</v>
      </c>
      <c r="Q178" s="79">
        <v>7000000</v>
      </c>
      <c r="R178" s="15">
        <v>0</v>
      </c>
      <c r="S178" s="16">
        <v>0</v>
      </c>
      <c r="T178" s="99">
        <v>0</v>
      </c>
      <c r="U178" s="99">
        <v>0</v>
      </c>
      <c r="V178" s="99">
        <v>0</v>
      </c>
      <c r="W178" s="17">
        <v>0</v>
      </c>
      <c r="X178" s="99">
        <v>0</v>
      </c>
      <c r="Y178" s="99">
        <v>0</v>
      </c>
      <c r="Z178" s="99">
        <v>0</v>
      </c>
      <c r="AA178" s="100">
        <v>0</v>
      </c>
      <c r="AB178" s="17">
        <v>0</v>
      </c>
      <c r="AC178" s="17">
        <v>0</v>
      </c>
      <c r="AD178" s="19">
        <v>0</v>
      </c>
      <c r="AE178" s="9"/>
      <c r="AF178" s="9"/>
      <c r="AG178" s="9"/>
      <c r="AH178" s="9"/>
      <c r="AI178" s="9"/>
      <c r="AJ178" s="9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</row>
    <row r="179" spans="1:55" ht="13.5" customHeight="1">
      <c r="A179" s="8" t="s">
        <v>476</v>
      </c>
      <c r="B179" s="37">
        <v>39841</v>
      </c>
      <c r="C179" s="8" t="s">
        <v>473</v>
      </c>
      <c r="D179" s="8" t="s">
        <v>441</v>
      </c>
      <c r="E179" s="36">
        <v>38.18920277777777</v>
      </c>
      <c r="F179" s="36">
        <v>15.560913888888889</v>
      </c>
      <c r="G179" s="8" t="s">
        <v>471</v>
      </c>
      <c r="H179" s="8" t="s">
        <v>471</v>
      </c>
      <c r="I179" s="8" t="s">
        <v>441</v>
      </c>
      <c r="J179" s="8" t="s">
        <v>477</v>
      </c>
      <c r="K179" s="38" t="s">
        <v>445</v>
      </c>
      <c r="L179" s="39">
        <v>42459</v>
      </c>
      <c r="M179" s="60" t="s">
        <v>72</v>
      </c>
      <c r="N179" s="8" t="s">
        <v>93</v>
      </c>
      <c r="O179" s="41">
        <v>2838236.3</v>
      </c>
      <c r="P179" s="41">
        <v>70354.59</v>
      </c>
      <c r="Q179" s="41">
        <f>+O179</f>
        <v>2838236.3</v>
      </c>
      <c r="R179" s="42">
        <v>0</v>
      </c>
      <c r="S179" s="43">
        <v>365</v>
      </c>
      <c r="T179" s="41">
        <v>-208204.03</v>
      </c>
      <c r="U179" s="41">
        <v>66983.13</v>
      </c>
      <c r="V179" s="41">
        <f>+O179+T179</f>
        <v>2630032.27</v>
      </c>
      <c r="W179" s="44">
        <v>0</v>
      </c>
      <c r="X179" s="41">
        <f>+V179</f>
        <v>2630032.27</v>
      </c>
      <c r="Y179" s="41">
        <f>+U179</f>
        <v>66983.13</v>
      </c>
      <c r="Z179" s="41">
        <v>0</v>
      </c>
      <c r="AA179" s="43">
        <f>+S179</f>
        <v>365</v>
      </c>
      <c r="AB179" s="44">
        <v>0</v>
      </c>
      <c r="AC179" s="44">
        <v>0</v>
      </c>
      <c r="AD179" s="42">
        <v>0</v>
      </c>
      <c r="AE179" s="37"/>
      <c r="AF179" s="37"/>
      <c r="AG179" s="37">
        <v>42736</v>
      </c>
      <c r="AH179" s="37">
        <v>43100</v>
      </c>
      <c r="AI179" s="37">
        <v>43101</v>
      </c>
      <c r="AJ179" s="37">
        <f>+AI179</f>
        <v>43101</v>
      </c>
      <c r="AK179" s="26"/>
      <c r="AL179" s="57">
        <f>_xlfn.IFERROR(Z179/O179*100,0)</f>
        <v>0</v>
      </c>
      <c r="AM179" s="57">
        <f>_xlfn.IFERROR(AC179/S179*100,0)</f>
        <v>0</v>
      </c>
      <c r="AN179" s="57">
        <f>_xlfn.IFERROR(V179/X179*100,0)</f>
        <v>100</v>
      </c>
      <c r="AO179" s="57">
        <f>_xlfn.IFERROR(W179/AA179*100,0)</f>
        <v>0</v>
      </c>
      <c r="AP179" s="57">
        <f>_xlfn.IFERROR(((W179+AB179)/AA179)*100,0)</f>
        <v>0</v>
      </c>
      <c r="AQ179" s="57">
        <f>_xlfn.IFERROR((AD179/O179)*100,0)</f>
        <v>0</v>
      </c>
      <c r="AR179" s="48">
        <f>_xlfn.IFERROR((Q179/O179)*100,0)</f>
        <v>100</v>
      </c>
      <c r="AS179" s="35" t="s">
        <v>74</v>
      </c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</row>
    <row r="180" spans="1:55" ht="13.5" customHeight="1">
      <c r="A180" s="8" t="s">
        <v>478</v>
      </c>
      <c r="B180" s="37">
        <v>39841</v>
      </c>
      <c r="C180" s="8" t="s">
        <v>473</v>
      </c>
      <c r="D180" s="8" t="s">
        <v>441</v>
      </c>
      <c r="E180" s="36">
        <v>38.18920277777777</v>
      </c>
      <c r="F180" s="36">
        <v>15.560913888888889</v>
      </c>
      <c r="G180" s="8" t="s">
        <v>471</v>
      </c>
      <c r="H180" s="8" t="s">
        <v>471</v>
      </c>
      <c r="I180" s="8" t="s">
        <v>441</v>
      </c>
      <c r="J180" s="8" t="s">
        <v>479</v>
      </c>
      <c r="K180" s="38" t="s">
        <v>445</v>
      </c>
      <c r="L180" s="39">
        <v>42459</v>
      </c>
      <c r="M180" s="60" t="s">
        <v>72</v>
      </c>
      <c r="N180" s="8" t="s">
        <v>93</v>
      </c>
      <c r="O180" s="41">
        <v>8276267.05</v>
      </c>
      <c r="P180" s="41">
        <v>594303.09</v>
      </c>
      <c r="Q180" s="42">
        <f>+O180</f>
        <v>8276267.05</v>
      </c>
      <c r="R180" s="42">
        <v>0</v>
      </c>
      <c r="S180" s="43">
        <v>600</v>
      </c>
      <c r="T180" s="41">
        <f>+V180-O180</f>
        <v>982697.4200000009</v>
      </c>
      <c r="U180" s="41">
        <v>664563.32</v>
      </c>
      <c r="V180" s="41">
        <v>9258964.47</v>
      </c>
      <c r="W180" s="44">
        <v>600</v>
      </c>
      <c r="X180" s="41">
        <f>+V180</f>
        <v>9258964.47</v>
      </c>
      <c r="Y180" s="41">
        <f>+U180</f>
        <v>664563.32</v>
      </c>
      <c r="Z180" s="41">
        <v>6421145.76</v>
      </c>
      <c r="AA180" s="43">
        <v>900</v>
      </c>
      <c r="AB180" s="44">
        <v>1125</v>
      </c>
      <c r="AC180" s="44">
        <v>690</v>
      </c>
      <c r="AD180" s="42">
        <v>0</v>
      </c>
      <c r="AE180" s="37"/>
      <c r="AF180" s="37"/>
      <c r="AG180" s="37">
        <v>40710</v>
      </c>
      <c r="AH180" s="37">
        <v>42735</v>
      </c>
      <c r="AI180" s="37">
        <v>42736</v>
      </c>
      <c r="AJ180" s="37">
        <v>42736</v>
      </c>
      <c r="AK180" s="26"/>
      <c r="AL180" s="57">
        <f>_xlfn.IFERROR(Z180/O180*100,0)</f>
        <v>77.58504795951455</v>
      </c>
      <c r="AM180" s="57">
        <f>_xlfn.IFERROR(AC180/S180*100,0)</f>
        <v>114.99999999999999</v>
      </c>
      <c r="AN180" s="57">
        <f>_xlfn.IFERROR(V180/X180*100,0)</f>
        <v>100</v>
      </c>
      <c r="AO180" s="57">
        <f>_xlfn.IFERROR(W180/AA180*100,0)</f>
        <v>66.66666666666666</v>
      </c>
      <c r="AP180" s="57">
        <f>_xlfn.IFERROR(((W180+AB180)/AA180)*100,0)</f>
        <v>191.66666666666669</v>
      </c>
      <c r="AQ180" s="57">
        <f>_xlfn.IFERROR((AD180/O180)*100,0)</f>
        <v>0</v>
      </c>
      <c r="AR180" s="48">
        <f>_xlfn.IFERROR((Q180/O180)*100,0)</f>
        <v>100</v>
      </c>
      <c r="AS180" s="35" t="s">
        <v>74</v>
      </c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</row>
    <row r="181" spans="1:55" ht="13.5" customHeight="1">
      <c r="A181" s="33" t="s">
        <v>446</v>
      </c>
      <c r="B181" s="9"/>
      <c r="C181" s="33" t="s">
        <v>473</v>
      </c>
      <c r="D181" s="33" t="s">
        <v>441</v>
      </c>
      <c r="E181" s="33"/>
      <c r="F181" s="33"/>
      <c r="G181" s="33" t="s">
        <v>471</v>
      </c>
      <c r="H181" s="33" t="s">
        <v>471</v>
      </c>
      <c r="I181" s="33" t="s">
        <v>441</v>
      </c>
      <c r="J181" s="33" t="s">
        <v>480</v>
      </c>
      <c r="K181" s="10" t="s">
        <v>445</v>
      </c>
      <c r="L181" s="12">
        <v>42459</v>
      </c>
      <c r="M181" s="28" t="s">
        <v>56</v>
      </c>
      <c r="N181" s="33" t="s">
        <v>475</v>
      </c>
      <c r="O181" s="19">
        <v>0</v>
      </c>
      <c r="P181" s="19">
        <v>0</v>
      </c>
      <c r="Q181" s="79">
        <v>1500000</v>
      </c>
      <c r="R181" s="15">
        <v>0</v>
      </c>
      <c r="S181" s="16">
        <v>0</v>
      </c>
      <c r="T181" s="19">
        <v>0</v>
      </c>
      <c r="U181" s="19">
        <v>0</v>
      </c>
      <c r="V181" s="19">
        <v>0</v>
      </c>
      <c r="W181" s="17">
        <v>0</v>
      </c>
      <c r="X181" s="19">
        <v>0</v>
      </c>
      <c r="Y181" s="19">
        <v>0</v>
      </c>
      <c r="Z181" s="19">
        <v>0</v>
      </c>
      <c r="AA181" s="100">
        <v>0</v>
      </c>
      <c r="AB181" s="17">
        <v>0</v>
      </c>
      <c r="AC181" s="17">
        <v>0</v>
      </c>
      <c r="AD181" s="19">
        <v>0</v>
      </c>
      <c r="AE181" s="9"/>
      <c r="AF181" s="9"/>
      <c r="AG181" s="9"/>
      <c r="AH181" s="9"/>
      <c r="AI181" s="9"/>
      <c r="AJ181" s="9"/>
      <c r="AK181" s="26"/>
      <c r="AL181" s="57"/>
      <c r="AM181" s="57"/>
      <c r="AN181" s="57"/>
      <c r="AO181" s="57"/>
      <c r="AP181" s="57"/>
      <c r="AQ181" s="57"/>
      <c r="AR181" s="48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</row>
    <row r="182" spans="1:55" ht="13.5" customHeight="1">
      <c r="A182" s="33" t="s">
        <v>446</v>
      </c>
      <c r="B182" s="9"/>
      <c r="C182" s="33" t="s">
        <v>473</v>
      </c>
      <c r="D182" s="33" t="s">
        <v>441</v>
      </c>
      <c r="E182" s="33"/>
      <c r="F182" s="33"/>
      <c r="G182" s="33" t="s">
        <v>471</v>
      </c>
      <c r="H182" s="33" t="s">
        <v>471</v>
      </c>
      <c r="I182" s="33" t="s">
        <v>441</v>
      </c>
      <c r="J182" s="33" t="s">
        <v>481</v>
      </c>
      <c r="K182" s="10" t="s">
        <v>445</v>
      </c>
      <c r="L182" s="12">
        <v>42459</v>
      </c>
      <c r="M182" s="28" t="s">
        <v>56</v>
      </c>
      <c r="N182" s="33" t="s">
        <v>475</v>
      </c>
      <c r="O182" s="19">
        <v>0</v>
      </c>
      <c r="P182" s="19">
        <v>0</v>
      </c>
      <c r="Q182" s="79">
        <v>4500000</v>
      </c>
      <c r="R182" s="15">
        <v>0</v>
      </c>
      <c r="S182" s="16">
        <v>0</v>
      </c>
      <c r="T182" s="19">
        <v>0</v>
      </c>
      <c r="U182" s="19">
        <v>0</v>
      </c>
      <c r="V182" s="19">
        <v>0</v>
      </c>
      <c r="W182" s="17">
        <v>0</v>
      </c>
      <c r="X182" s="19">
        <v>0</v>
      </c>
      <c r="Y182" s="19">
        <v>0</v>
      </c>
      <c r="Z182" s="19">
        <v>0</v>
      </c>
      <c r="AA182" s="100">
        <v>0</v>
      </c>
      <c r="AB182" s="17">
        <v>0</v>
      </c>
      <c r="AC182" s="17">
        <v>0</v>
      </c>
      <c r="AD182" s="19">
        <v>0</v>
      </c>
      <c r="AE182" s="9">
        <v>36147</v>
      </c>
      <c r="AF182" s="9">
        <v>37519</v>
      </c>
      <c r="AG182" s="9"/>
      <c r="AH182" s="9"/>
      <c r="AI182" s="9"/>
      <c r="AJ182" s="9"/>
      <c r="AK182" s="26"/>
      <c r="AL182" s="57"/>
      <c r="AM182" s="57"/>
      <c r="AN182" s="57"/>
      <c r="AO182" s="57"/>
      <c r="AP182" s="57"/>
      <c r="AQ182" s="57"/>
      <c r="AR182" s="48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</row>
    <row r="183" spans="1:55" ht="13.5" customHeight="1">
      <c r="A183" s="33" t="s">
        <v>446</v>
      </c>
      <c r="B183" s="9"/>
      <c r="C183" s="33" t="s">
        <v>473</v>
      </c>
      <c r="D183" s="33" t="s">
        <v>441</v>
      </c>
      <c r="E183" s="33"/>
      <c r="F183" s="33"/>
      <c r="G183" s="33" t="s">
        <v>471</v>
      </c>
      <c r="H183" s="33" t="s">
        <v>471</v>
      </c>
      <c r="I183" s="33" t="s">
        <v>441</v>
      </c>
      <c r="J183" s="33" t="s">
        <v>482</v>
      </c>
      <c r="K183" s="10" t="s">
        <v>445</v>
      </c>
      <c r="L183" s="12">
        <v>42459</v>
      </c>
      <c r="M183" s="28" t="s">
        <v>56</v>
      </c>
      <c r="N183" s="33" t="s">
        <v>475</v>
      </c>
      <c r="O183" s="19">
        <v>0</v>
      </c>
      <c r="P183" s="19">
        <v>0</v>
      </c>
      <c r="Q183" s="79">
        <v>3000000</v>
      </c>
      <c r="R183" s="15">
        <v>0</v>
      </c>
      <c r="S183" s="16">
        <v>0</v>
      </c>
      <c r="T183" s="19">
        <v>0</v>
      </c>
      <c r="U183" s="19">
        <v>0</v>
      </c>
      <c r="V183" s="19">
        <v>0</v>
      </c>
      <c r="W183" s="17">
        <v>0</v>
      </c>
      <c r="X183" s="19">
        <v>0</v>
      </c>
      <c r="Y183" s="19">
        <v>0</v>
      </c>
      <c r="Z183" s="19">
        <v>0</v>
      </c>
      <c r="AA183" s="100">
        <v>0</v>
      </c>
      <c r="AB183" s="17">
        <v>0</v>
      </c>
      <c r="AC183" s="17">
        <v>0</v>
      </c>
      <c r="AD183" s="19">
        <v>0</v>
      </c>
      <c r="AE183" s="9"/>
      <c r="AF183" s="9"/>
      <c r="AG183" s="9"/>
      <c r="AH183" s="9"/>
      <c r="AI183" s="9"/>
      <c r="AJ183" s="9"/>
      <c r="AK183" s="26"/>
      <c r="AL183" s="57"/>
      <c r="AM183" s="57"/>
      <c r="AN183" s="57"/>
      <c r="AO183" s="57"/>
      <c r="AP183" s="57"/>
      <c r="AQ183" s="57"/>
      <c r="AR183" s="48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</row>
    <row r="184" spans="1:55" ht="13.5" customHeight="1">
      <c r="A184" s="33" t="s">
        <v>446</v>
      </c>
      <c r="B184" s="9"/>
      <c r="C184" s="33" t="s">
        <v>473</v>
      </c>
      <c r="D184" s="33" t="s">
        <v>441</v>
      </c>
      <c r="E184" s="33"/>
      <c r="F184" s="33"/>
      <c r="G184" s="33" t="s">
        <v>471</v>
      </c>
      <c r="H184" s="33" t="s">
        <v>471</v>
      </c>
      <c r="I184" s="33" t="s">
        <v>441</v>
      </c>
      <c r="J184" s="33" t="s">
        <v>483</v>
      </c>
      <c r="K184" s="10" t="s">
        <v>445</v>
      </c>
      <c r="L184" s="12">
        <v>42459</v>
      </c>
      <c r="M184" s="28" t="s">
        <v>56</v>
      </c>
      <c r="N184" s="33" t="s">
        <v>475</v>
      </c>
      <c r="O184" s="19">
        <v>0</v>
      </c>
      <c r="P184" s="19">
        <v>0</v>
      </c>
      <c r="Q184" s="79">
        <v>1500000</v>
      </c>
      <c r="R184" s="15">
        <v>0</v>
      </c>
      <c r="S184" s="16">
        <v>0</v>
      </c>
      <c r="T184" s="19">
        <v>0</v>
      </c>
      <c r="U184" s="19">
        <v>0</v>
      </c>
      <c r="V184" s="19">
        <v>0</v>
      </c>
      <c r="W184" s="17">
        <v>0</v>
      </c>
      <c r="X184" s="19">
        <v>0</v>
      </c>
      <c r="Y184" s="19">
        <v>0</v>
      </c>
      <c r="Z184" s="19">
        <v>0</v>
      </c>
      <c r="AA184" s="100">
        <v>0</v>
      </c>
      <c r="AB184" s="17">
        <v>0</v>
      </c>
      <c r="AC184" s="17">
        <v>0</v>
      </c>
      <c r="AD184" s="19">
        <v>0</v>
      </c>
      <c r="AE184" s="9"/>
      <c r="AF184" s="9"/>
      <c r="AG184" s="9"/>
      <c r="AH184" s="9"/>
      <c r="AI184" s="9"/>
      <c r="AJ184" s="9"/>
      <c r="AK184" s="26"/>
      <c r="AL184" s="57"/>
      <c r="AM184" s="57"/>
      <c r="AN184" s="57"/>
      <c r="AO184" s="57"/>
      <c r="AP184" s="57"/>
      <c r="AQ184" s="57"/>
      <c r="AR184" s="48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</row>
    <row r="185" spans="1:55" ht="15">
      <c r="A185" s="8" t="s">
        <v>484</v>
      </c>
      <c r="B185" s="37">
        <v>41381</v>
      </c>
      <c r="C185" s="33" t="s">
        <v>6</v>
      </c>
      <c r="D185" s="102" t="s">
        <v>485</v>
      </c>
      <c r="E185" s="36">
        <v>41.213828</v>
      </c>
      <c r="F185" s="36">
        <v>13.5764623</v>
      </c>
      <c r="G185" s="102" t="s">
        <v>486</v>
      </c>
      <c r="H185" s="102" t="s">
        <v>486</v>
      </c>
      <c r="I185" s="102" t="s">
        <v>487</v>
      </c>
      <c r="J185" s="102" t="s">
        <v>488</v>
      </c>
      <c r="K185" s="103"/>
      <c r="L185" s="12">
        <v>42535</v>
      </c>
      <c r="M185" s="60" t="s">
        <v>72</v>
      </c>
      <c r="N185" s="104" t="s">
        <v>73</v>
      </c>
      <c r="O185" s="19">
        <v>18429950.16</v>
      </c>
      <c r="P185" s="19">
        <v>1527994.34</v>
      </c>
      <c r="Q185" s="19">
        <v>19957944.5</v>
      </c>
      <c r="R185" s="19">
        <v>0</v>
      </c>
      <c r="S185" s="105">
        <v>1073</v>
      </c>
      <c r="T185" s="19">
        <v>145677.57</v>
      </c>
      <c r="U185" s="19">
        <v>0</v>
      </c>
      <c r="V185" s="19">
        <v>145677.57</v>
      </c>
      <c r="W185" s="17">
        <v>0</v>
      </c>
      <c r="X185" s="19">
        <v>0</v>
      </c>
      <c r="Y185" s="19">
        <v>0</v>
      </c>
      <c r="Z185" s="19">
        <v>695788.1</v>
      </c>
      <c r="AA185" s="100">
        <v>1073</v>
      </c>
      <c r="AB185" s="100">
        <v>0</v>
      </c>
      <c r="AC185" s="100">
        <v>210</v>
      </c>
      <c r="AD185" s="19">
        <v>3330000</v>
      </c>
      <c r="AE185" s="9">
        <v>41589</v>
      </c>
      <c r="AF185" s="9">
        <v>41851</v>
      </c>
      <c r="AG185" s="9">
        <v>42324</v>
      </c>
      <c r="AH185" s="9">
        <v>43247</v>
      </c>
      <c r="AI185" s="103"/>
      <c r="AJ185" s="103"/>
      <c r="AK185" s="103"/>
      <c r="AL185" s="57">
        <f>_xlfn.IFERROR(Z185/O185*100,0)</f>
        <v>3.775311891565093</v>
      </c>
      <c r="AM185" s="57">
        <f>_xlfn.IFERROR(AC185/S185*100,0)</f>
        <v>19.571295433364398</v>
      </c>
      <c r="AN185" s="57">
        <f>_xlfn.IFERROR(V185/X185*100,0)</f>
        <v>0</v>
      </c>
      <c r="AO185" s="57">
        <f>_xlfn.IFERROR(W185/AA185*100,0)</f>
        <v>0</v>
      </c>
      <c r="AP185" s="57">
        <f>_xlfn.IFERROR(((W185+AB185)/AA185)*100,0)</f>
        <v>0</v>
      </c>
      <c r="AQ185" s="57">
        <f>_xlfn.IFERROR((AD185/O185)*100,0)</f>
        <v>18.06841565544418</v>
      </c>
      <c r="AR185" s="48">
        <f>_xlfn.IFERROR((Q185/O185)*100,0)</f>
        <v>108.290821878164</v>
      </c>
      <c r="AS185" s="35" t="s">
        <v>74</v>
      </c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</row>
    <row r="186" spans="1:55" ht="15">
      <c r="A186" s="8" t="s">
        <v>489</v>
      </c>
      <c r="B186" s="37">
        <v>41516</v>
      </c>
      <c r="C186" s="33" t="s">
        <v>6</v>
      </c>
      <c r="D186" s="8" t="s">
        <v>490</v>
      </c>
      <c r="E186" s="36">
        <v>38.1314361</v>
      </c>
      <c r="F186" s="106">
        <v>13.3696298</v>
      </c>
      <c r="G186" s="104" t="s">
        <v>490</v>
      </c>
      <c r="H186" s="104" t="s">
        <v>490</v>
      </c>
      <c r="I186" s="104" t="s">
        <v>490</v>
      </c>
      <c r="J186" s="104" t="s">
        <v>491</v>
      </c>
      <c r="K186" s="103"/>
      <c r="L186" s="12">
        <v>42551</v>
      </c>
      <c r="M186" s="60" t="s">
        <v>72</v>
      </c>
      <c r="N186" s="104" t="s">
        <v>312</v>
      </c>
      <c r="O186" s="19">
        <v>787438.3</v>
      </c>
      <c r="P186" s="19">
        <v>35071.29</v>
      </c>
      <c r="Q186" s="19">
        <v>787438.3</v>
      </c>
      <c r="R186" s="19">
        <v>0</v>
      </c>
      <c r="S186" s="105">
        <v>180</v>
      </c>
      <c r="T186" s="19">
        <v>0</v>
      </c>
      <c r="U186" s="19">
        <v>0</v>
      </c>
      <c r="V186" s="19">
        <v>0</v>
      </c>
      <c r="W186" s="17">
        <v>0</v>
      </c>
      <c r="X186" s="19">
        <v>7440610.03</v>
      </c>
      <c r="Y186" s="19">
        <v>82000</v>
      </c>
      <c r="Z186" s="19">
        <v>6487236.84</v>
      </c>
      <c r="AA186" s="100">
        <v>180</v>
      </c>
      <c r="AB186" s="100">
        <v>875</v>
      </c>
      <c r="AC186" s="100">
        <v>150</v>
      </c>
      <c r="AD186" s="19">
        <v>0</v>
      </c>
      <c r="AE186" s="9">
        <v>41214</v>
      </c>
      <c r="AF186" s="9">
        <v>41274</v>
      </c>
      <c r="AG186" s="9">
        <v>41526</v>
      </c>
      <c r="AH186" s="9">
        <v>42581</v>
      </c>
      <c r="AI186" s="103"/>
      <c r="AJ186" s="103"/>
      <c r="AK186" s="103"/>
      <c r="AL186" s="57"/>
      <c r="AM186" s="57"/>
      <c r="AN186" s="57"/>
      <c r="AO186" s="57"/>
      <c r="AP186" s="57"/>
      <c r="AQ186" s="57"/>
      <c r="AR186" s="48"/>
      <c r="AS186" s="35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</row>
    <row r="187" spans="1:55" ht="15">
      <c r="A187" s="8" t="s">
        <v>492</v>
      </c>
      <c r="B187" s="37">
        <v>40687</v>
      </c>
      <c r="C187" s="33" t="s">
        <v>6</v>
      </c>
      <c r="D187" s="104" t="s">
        <v>490</v>
      </c>
      <c r="E187" s="36">
        <v>38.1314361</v>
      </c>
      <c r="F187" s="106">
        <v>13.3696298</v>
      </c>
      <c r="G187" s="104" t="s">
        <v>490</v>
      </c>
      <c r="H187" s="104" t="s">
        <v>490</v>
      </c>
      <c r="I187" s="104" t="s">
        <v>490</v>
      </c>
      <c r="J187" s="102" t="s">
        <v>493</v>
      </c>
      <c r="K187" s="103"/>
      <c r="L187" s="12">
        <v>42552</v>
      </c>
      <c r="M187" s="60" t="s">
        <v>72</v>
      </c>
      <c r="N187" s="104" t="s">
        <v>312</v>
      </c>
      <c r="O187" s="19">
        <v>6634857.15</v>
      </c>
      <c r="P187" s="19">
        <v>82000</v>
      </c>
      <c r="Q187" s="19">
        <v>6634857.15</v>
      </c>
      <c r="R187" s="19">
        <v>0</v>
      </c>
      <c r="S187" s="105">
        <v>1140</v>
      </c>
      <c r="T187" s="19">
        <v>805752.88</v>
      </c>
      <c r="U187" s="19">
        <v>0</v>
      </c>
      <c r="V187" s="19">
        <v>805752.88</v>
      </c>
      <c r="W187" s="17">
        <v>90</v>
      </c>
      <c r="X187" s="19">
        <v>15930610.14</v>
      </c>
      <c r="Y187" s="19">
        <v>1032287.28</v>
      </c>
      <c r="Z187" s="19">
        <v>4087190.2</v>
      </c>
      <c r="AA187" s="100">
        <v>1658</v>
      </c>
      <c r="AB187" s="100">
        <v>1533</v>
      </c>
      <c r="AC187" s="100">
        <v>1535</v>
      </c>
      <c r="AD187" s="19">
        <v>888513.94</v>
      </c>
      <c r="AE187" s="9">
        <v>38354</v>
      </c>
      <c r="AF187" s="9">
        <v>38544</v>
      </c>
      <c r="AG187" s="9">
        <v>39483</v>
      </c>
      <c r="AH187" s="9">
        <v>42674</v>
      </c>
      <c r="AI187" s="103"/>
      <c r="AJ187" s="103"/>
      <c r="AK187" s="103"/>
      <c r="AL187" s="57">
        <f aca="true" t="shared" si="55" ref="AL187:AL197">_xlfn.IFERROR(Z187/O187*100,0)</f>
        <v>61.60178143398309</v>
      </c>
      <c r="AM187" s="57">
        <f aca="true" t="shared" si="56" ref="AM187:AM197">_xlfn.IFERROR(AC187/S187*100,0)</f>
        <v>134.64912280701756</v>
      </c>
      <c r="AN187" s="57">
        <f aca="true" t="shared" si="57" ref="AN187:AN197">_xlfn.IFERROR(V187/X187*100,0)</f>
        <v>5.0578908963244515</v>
      </c>
      <c r="AO187" s="57">
        <f aca="true" t="shared" si="58" ref="AO187:AO197">_xlfn.IFERROR(W187/AA187*100,0)</f>
        <v>5.42822677925211</v>
      </c>
      <c r="AP187" s="57">
        <f aca="true" t="shared" si="59" ref="AP187:AP197">_xlfn.IFERROR(((W187+AB187)/AA187)*100,0)</f>
        <v>97.88902291917974</v>
      </c>
      <c r="AQ187" s="57">
        <f aca="true" t="shared" si="60" ref="AQ187:AQ197">_xlfn.IFERROR((AD187/O187)*100,0)</f>
        <v>13.391606177986814</v>
      </c>
      <c r="AR187" s="48">
        <f aca="true" t="shared" si="61" ref="AR187:AR197">_xlfn.IFERROR((Q187/O187)*100,0)</f>
        <v>100</v>
      </c>
      <c r="AS187" s="35" t="s">
        <v>74</v>
      </c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</row>
    <row r="188" spans="1:55" ht="15">
      <c r="A188" s="8" t="s">
        <v>494</v>
      </c>
      <c r="B188" s="37">
        <v>40617</v>
      </c>
      <c r="C188" s="33" t="s">
        <v>6</v>
      </c>
      <c r="D188" s="104" t="s">
        <v>490</v>
      </c>
      <c r="E188" s="36">
        <v>38.1314361</v>
      </c>
      <c r="F188" s="106">
        <v>13.3696298</v>
      </c>
      <c r="G188" s="104" t="s">
        <v>490</v>
      </c>
      <c r="H188" s="104" t="s">
        <v>490</v>
      </c>
      <c r="I188" s="104" t="s">
        <v>490</v>
      </c>
      <c r="J188" s="104" t="s">
        <v>495</v>
      </c>
      <c r="K188" s="103"/>
      <c r="L188" s="12">
        <v>42553</v>
      </c>
      <c r="M188" s="60" t="s">
        <v>72</v>
      </c>
      <c r="N188" s="104" t="s">
        <v>312</v>
      </c>
      <c r="O188" s="19">
        <v>12221525.04</v>
      </c>
      <c r="P188" s="19">
        <v>470773.84</v>
      </c>
      <c r="Q188" s="19">
        <v>12221525.04</v>
      </c>
      <c r="R188" s="19">
        <v>0</v>
      </c>
      <c r="S188" s="105">
        <v>455</v>
      </c>
      <c r="T188" s="19">
        <v>4179858.94</v>
      </c>
      <c r="U188" s="19">
        <v>561513.42</v>
      </c>
      <c r="V188" s="19">
        <v>4741371.96</v>
      </c>
      <c r="W188" s="17">
        <v>130</v>
      </c>
      <c r="X188" s="19">
        <v>9468681.54</v>
      </c>
      <c r="Y188" s="19">
        <v>453525.69</v>
      </c>
      <c r="Z188" s="19">
        <v>7543586.19</v>
      </c>
      <c r="AA188" s="100">
        <v>585</v>
      </c>
      <c r="AB188" s="100">
        <v>398</v>
      </c>
      <c r="AC188" s="100">
        <v>232</v>
      </c>
      <c r="AD188" s="19">
        <v>1553227.95</v>
      </c>
      <c r="AE188" s="9">
        <v>41425</v>
      </c>
      <c r="AF188" s="9">
        <v>41604</v>
      </c>
      <c r="AG188" s="9">
        <v>41921</v>
      </c>
      <c r="AH188" s="9">
        <v>42903</v>
      </c>
      <c r="AI188" s="103"/>
      <c r="AJ188" s="103"/>
      <c r="AK188" s="103"/>
      <c r="AL188" s="57">
        <f t="shared" si="55"/>
        <v>61.72377150405119</v>
      </c>
      <c r="AM188" s="57">
        <f t="shared" si="56"/>
        <v>50.989010989010985</v>
      </c>
      <c r="AN188" s="57">
        <f t="shared" si="57"/>
        <v>50.07425732896705</v>
      </c>
      <c r="AO188" s="57">
        <f t="shared" si="58"/>
        <v>22.22222222222222</v>
      </c>
      <c r="AP188" s="57">
        <f t="shared" si="59"/>
        <v>90.25641025641026</v>
      </c>
      <c r="AQ188" s="57">
        <f t="shared" si="60"/>
        <v>12.708953628261765</v>
      </c>
      <c r="AR188" s="48">
        <f t="shared" si="61"/>
        <v>100</v>
      </c>
      <c r="AS188" s="35" t="s">
        <v>74</v>
      </c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</row>
    <row r="189" spans="1:55" ht="15">
      <c r="A189" s="8" t="s">
        <v>496</v>
      </c>
      <c r="B189" s="37">
        <v>39987</v>
      </c>
      <c r="C189" s="33" t="s">
        <v>6</v>
      </c>
      <c r="D189" s="8" t="s">
        <v>497</v>
      </c>
      <c r="E189" s="36">
        <v>41.6287296</v>
      </c>
      <c r="F189" s="106">
        <v>15.9232883</v>
      </c>
      <c r="G189" s="107" t="s">
        <v>498</v>
      </c>
      <c r="H189" s="107" t="s">
        <v>497</v>
      </c>
      <c r="I189" s="107" t="s">
        <v>499</v>
      </c>
      <c r="J189" s="107" t="s">
        <v>500</v>
      </c>
      <c r="K189" s="108"/>
      <c r="L189" s="12">
        <v>42459</v>
      </c>
      <c r="M189" s="60" t="s">
        <v>72</v>
      </c>
      <c r="N189" s="106" t="s">
        <v>93</v>
      </c>
      <c r="O189" s="19">
        <v>8360997.24</v>
      </c>
      <c r="P189" s="19">
        <v>398250</v>
      </c>
      <c r="Q189" s="19">
        <v>8759247.24</v>
      </c>
      <c r="R189" s="19">
        <v>0</v>
      </c>
      <c r="S189" s="109">
        <v>540</v>
      </c>
      <c r="T189" s="19">
        <v>1107684.3</v>
      </c>
      <c r="U189" s="19">
        <v>55275.69</v>
      </c>
      <c r="V189" s="19">
        <v>1162959.99</v>
      </c>
      <c r="W189" s="17">
        <v>440</v>
      </c>
      <c r="X189" s="19">
        <v>3925531.59</v>
      </c>
      <c r="Y189" s="19">
        <v>81398</v>
      </c>
      <c r="Z189" s="19">
        <v>0</v>
      </c>
      <c r="AA189" s="100">
        <v>980</v>
      </c>
      <c r="AB189" s="100">
        <v>0</v>
      </c>
      <c r="AC189" s="100">
        <v>782</v>
      </c>
      <c r="AD189" s="19">
        <v>0</v>
      </c>
      <c r="AE189" s="9">
        <v>41522</v>
      </c>
      <c r="AF189" s="9">
        <v>42214</v>
      </c>
      <c r="AG189" s="9">
        <v>41677</v>
      </c>
      <c r="AH189" s="9">
        <v>42657</v>
      </c>
      <c r="AI189" s="37">
        <v>42461</v>
      </c>
      <c r="AJ189" s="37">
        <v>42518</v>
      </c>
      <c r="AK189" s="110"/>
      <c r="AL189" s="57">
        <f t="shared" si="55"/>
        <v>0</v>
      </c>
      <c r="AM189" s="57">
        <f t="shared" si="56"/>
        <v>144.8148148148148</v>
      </c>
      <c r="AN189" s="57">
        <f t="shared" si="57"/>
        <v>29.625541492585466</v>
      </c>
      <c r="AO189" s="57">
        <f t="shared" si="58"/>
        <v>44.89795918367347</v>
      </c>
      <c r="AP189" s="57">
        <f t="shared" si="59"/>
        <v>44.89795918367347</v>
      </c>
      <c r="AQ189" s="57">
        <f t="shared" si="60"/>
        <v>0</v>
      </c>
      <c r="AR189" s="48">
        <f t="shared" si="61"/>
        <v>104.76318779409142</v>
      </c>
      <c r="AS189" s="35" t="s">
        <v>74</v>
      </c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</row>
    <row r="190" spans="1:55" ht="15">
      <c r="A190" s="8" t="s">
        <v>501</v>
      </c>
      <c r="B190" s="37">
        <v>41215</v>
      </c>
      <c r="C190" s="33" t="s">
        <v>6</v>
      </c>
      <c r="D190" s="8" t="s">
        <v>502</v>
      </c>
      <c r="E190" s="36">
        <v>44.4082017</v>
      </c>
      <c r="F190" s="106">
        <v>8.9226606</v>
      </c>
      <c r="G190" s="111" t="s">
        <v>502</v>
      </c>
      <c r="H190" s="111" t="s">
        <v>502</v>
      </c>
      <c r="I190" s="111" t="s">
        <v>502</v>
      </c>
      <c r="J190" s="111" t="s">
        <v>503</v>
      </c>
      <c r="K190" s="112"/>
      <c r="L190" s="12">
        <v>42460</v>
      </c>
      <c r="M190" s="60" t="s">
        <v>72</v>
      </c>
      <c r="N190" s="111" t="s">
        <v>504</v>
      </c>
      <c r="O190" s="19">
        <v>3925531.59</v>
      </c>
      <c r="P190" s="19">
        <v>81398</v>
      </c>
      <c r="Q190" s="19">
        <v>3925531.59</v>
      </c>
      <c r="R190" s="19">
        <v>0</v>
      </c>
      <c r="S190" s="113">
        <v>295</v>
      </c>
      <c r="T190" s="19">
        <v>0</v>
      </c>
      <c r="U190" s="19">
        <v>0</v>
      </c>
      <c r="V190" s="19">
        <v>0</v>
      </c>
      <c r="W190" s="17">
        <v>0</v>
      </c>
      <c r="X190" s="19">
        <v>6684292.98</v>
      </c>
      <c r="Y190" s="19">
        <v>183386.4</v>
      </c>
      <c r="Z190" s="19">
        <v>5565234.3</v>
      </c>
      <c r="AA190" s="100">
        <v>295</v>
      </c>
      <c r="AB190" s="100">
        <v>0</v>
      </c>
      <c r="AC190" s="100">
        <v>0</v>
      </c>
      <c r="AD190" s="19">
        <v>0</v>
      </c>
      <c r="AE190" s="9">
        <v>40826</v>
      </c>
      <c r="AF190" s="9">
        <v>41271</v>
      </c>
      <c r="AG190" s="9">
        <v>42460</v>
      </c>
      <c r="AH190" s="9">
        <v>42755</v>
      </c>
      <c r="AI190" s="112"/>
      <c r="AJ190" s="112"/>
      <c r="AK190" s="114"/>
      <c r="AL190" s="57">
        <f t="shared" si="55"/>
        <v>141.77020799366437</v>
      </c>
      <c r="AM190" s="57">
        <f t="shared" si="56"/>
        <v>0</v>
      </c>
      <c r="AN190" s="57">
        <f t="shared" si="57"/>
        <v>0</v>
      </c>
      <c r="AO190" s="57">
        <f t="shared" si="58"/>
        <v>0</v>
      </c>
      <c r="AP190" s="57">
        <f t="shared" si="59"/>
        <v>0</v>
      </c>
      <c r="AQ190" s="57">
        <f t="shared" si="60"/>
        <v>0</v>
      </c>
      <c r="AR190" s="48">
        <f t="shared" si="61"/>
        <v>100</v>
      </c>
      <c r="AS190" s="35" t="s">
        <v>74</v>
      </c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</row>
    <row r="191" spans="1:55" ht="15">
      <c r="A191" s="8" t="s">
        <v>505</v>
      </c>
      <c r="B191" s="37">
        <v>41618</v>
      </c>
      <c r="C191" s="8" t="s">
        <v>6</v>
      </c>
      <c r="D191" s="8" t="s">
        <v>502</v>
      </c>
      <c r="E191" s="36">
        <v>44.4082017</v>
      </c>
      <c r="F191" s="106">
        <v>8.9226606</v>
      </c>
      <c r="G191" s="111" t="s">
        <v>502</v>
      </c>
      <c r="H191" s="111" t="s">
        <v>502</v>
      </c>
      <c r="I191" s="111" t="s">
        <v>502</v>
      </c>
      <c r="J191" s="111" t="s">
        <v>506</v>
      </c>
      <c r="K191" s="112"/>
      <c r="L191" s="12">
        <v>42460</v>
      </c>
      <c r="M191" s="60" t="s">
        <v>72</v>
      </c>
      <c r="N191" s="111" t="s">
        <v>504</v>
      </c>
      <c r="O191" s="19">
        <v>5607394.1</v>
      </c>
      <c r="P191" s="19">
        <v>168488.44</v>
      </c>
      <c r="Q191" s="19">
        <v>5607394.1</v>
      </c>
      <c r="R191" s="19">
        <v>0</v>
      </c>
      <c r="S191" s="113">
        <v>240</v>
      </c>
      <c r="T191" s="19">
        <v>1076898.88</v>
      </c>
      <c r="U191" s="19">
        <v>14897.96</v>
      </c>
      <c r="V191" s="19">
        <v>1091796.84</v>
      </c>
      <c r="W191" s="17">
        <v>0</v>
      </c>
      <c r="X191" s="19">
        <v>7657240.88</v>
      </c>
      <c r="Y191" s="19">
        <v>187100</v>
      </c>
      <c r="Z191" s="19">
        <v>0</v>
      </c>
      <c r="AA191" s="100">
        <v>240</v>
      </c>
      <c r="AB191" s="100">
        <v>0</v>
      </c>
      <c r="AC191" s="100">
        <v>2214</v>
      </c>
      <c r="AD191" s="19">
        <v>0</v>
      </c>
      <c r="AE191" s="9">
        <v>40176</v>
      </c>
      <c r="AF191" s="9">
        <v>40177</v>
      </c>
      <c r="AG191" s="9">
        <v>40246</v>
      </c>
      <c r="AH191" s="9">
        <v>42825</v>
      </c>
      <c r="AI191" s="112"/>
      <c r="AJ191" s="112"/>
      <c r="AK191" s="114"/>
      <c r="AL191" s="57">
        <f t="shared" si="55"/>
        <v>0</v>
      </c>
      <c r="AM191" s="57">
        <f t="shared" si="56"/>
        <v>922.5</v>
      </c>
      <c r="AN191" s="57">
        <f t="shared" si="57"/>
        <v>14.258358292628245</v>
      </c>
      <c r="AO191" s="57">
        <f t="shared" si="58"/>
        <v>0</v>
      </c>
      <c r="AP191" s="57">
        <f t="shared" si="59"/>
        <v>0</v>
      </c>
      <c r="AQ191" s="57">
        <f t="shared" si="60"/>
        <v>0</v>
      </c>
      <c r="AR191" s="48">
        <f t="shared" si="61"/>
        <v>100</v>
      </c>
      <c r="AS191" s="35" t="s">
        <v>74</v>
      </c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</row>
    <row r="192" spans="1:55" ht="15">
      <c r="A192" s="8" t="s">
        <v>507</v>
      </c>
      <c r="B192" s="37">
        <v>40653</v>
      </c>
      <c r="C192" s="8" t="s">
        <v>6</v>
      </c>
      <c r="D192" s="8" t="s">
        <v>502</v>
      </c>
      <c r="E192" s="36">
        <v>44.4082017</v>
      </c>
      <c r="F192" s="106">
        <v>8.9226606</v>
      </c>
      <c r="G192" s="111" t="s">
        <v>502</v>
      </c>
      <c r="H192" s="111" t="s">
        <v>502</v>
      </c>
      <c r="I192" s="111" t="s">
        <v>502</v>
      </c>
      <c r="J192" s="111" t="s">
        <v>508</v>
      </c>
      <c r="K192" s="112"/>
      <c r="L192" s="12">
        <v>42460</v>
      </c>
      <c r="M192" s="60" t="s">
        <v>72</v>
      </c>
      <c r="N192" s="111" t="s">
        <v>504</v>
      </c>
      <c r="O192" s="19">
        <v>7657240.88</v>
      </c>
      <c r="P192" s="19">
        <v>187100</v>
      </c>
      <c r="Q192" s="19">
        <v>7657240.88</v>
      </c>
      <c r="R192" s="19">
        <v>0</v>
      </c>
      <c r="S192" s="113">
        <v>480</v>
      </c>
      <c r="T192" s="19">
        <v>0</v>
      </c>
      <c r="U192" s="19">
        <v>0</v>
      </c>
      <c r="V192" s="19">
        <v>0</v>
      </c>
      <c r="W192" s="17">
        <v>0</v>
      </c>
      <c r="X192" s="19">
        <v>12178511.77</v>
      </c>
      <c r="Y192" s="19">
        <v>532022.660628739</v>
      </c>
      <c r="Z192" s="19">
        <v>12118538.43</v>
      </c>
      <c r="AA192" s="100">
        <v>480</v>
      </c>
      <c r="AB192" s="100">
        <v>0</v>
      </c>
      <c r="AC192" s="100">
        <v>0</v>
      </c>
      <c r="AD192" s="19">
        <v>0</v>
      </c>
      <c r="AE192" s="9">
        <v>40826</v>
      </c>
      <c r="AF192" s="9">
        <v>41271</v>
      </c>
      <c r="AG192" s="9">
        <v>42460</v>
      </c>
      <c r="AH192" s="9">
        <v>42940</v>
      </c>
      <c r="AI192" s="112"/>
      <c r="AJ192" s="112"/>
      <c r="AK192" s="114"/>
      <c r="AL192" s="57">
        <f t="shared" si="55"/>
        <v>158.2624684258333</v>
      </c>
      <c r="AM192" s="57">
        <f t="shared" si="56"/>
        <v>0</v>
      </c>
      <c r="AN192" s="57">
        <f t="shared" si="57"/>
        <v>0</v>
      </c>
      <c r="AO192" s="57">
        <f t="shared" si="58"/>
        <v>0</v>
      </c>
      <c r="AP192" s="57">
        <f t="shared" si="59"/>
        <v>0</v>
      </c>
      <c r="AQ192" s="57">
        <f t="shared" si="60"/>
        <v>0</v>
      </c>
      <c r="AR192" s="48">
        <f t="shared" si="61"/>
        <v>100</v>
      </c>
      <c r="AS192" s="35" t="s">
        <v>74</v>
      </c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</row>
    <row r="193" spans="1:55" ht="15">
      <c r="A193" s="8" t="s">
        <v>509</v>
      </c>
      <c r="B193" s="37">
        <v>41618</v>
      </c>
      <c r="C193" s="8" t="s">
        <v>6</v>
      </c>
      <c r="D193" s="8" t="s">
        <v>502</v>
      </c>
      <c r="E193" s="36">
        <v>44.4082017</v>
      </c>
      <c r="F193" s="106">
        <v>8.9226606</v>
      </c>
      <c r="G193" s="111" t="s">
        <v>502</v>
      </c>
      <c r="H193" s="111" t="s">
        <v>502</v>
      </c>
      <c r="I193" s="111" t="s">
        <v>502</v>
      </c>
      <c r="J193" s="111" t="s">
        <v>510</v>
      </c>
      <c r="K193" s="112"/>
      <c r="L193" s="12">
        <v>42460</v>
      </c>
      <c r="M193" s="60" t="s">
        <v>72</v>
      </c>
      <c r="N193" s="111" t="s">
        <v>504</v>
      </c>
      <c r="O193" s="19">
        <v>5812508.01</v>
      </c>
      <c r="P193" s="19">
        <v>253921.5</v>
      </c>
      <c r="Q193" s="19">
        <v>5812508.01</v>
      </c>
      <c r="R193" s="19">
        <v>0</v>
      </c>
      <c r="S193" s="113">
        <v>540</v>
      </c>
      <c r="T193" s="19">
        <v>6366003.76</v>
      </c>
      <c r="U193" s="19">
        <v>278101.160628739</v>
      </c>
      <c r="V193" s="19">
        <v>6366003.76</v>
      </c>
      <c r="W193" s="17">
        <v>0</v>
      </c>
      <c r="X193" s="19">
        <v>9338553.32</v>
      </c>
      <c r="Y193" s="19">
        <v>289218.44</v>
      </c>
      <c r="Z193" s="19">
        <v>2480984.29</v>
      </c>
      <c r="AA193" s="100">
        <v>540</v>
      </c>
      <c r="AB193" s="100">
        <v>0</v>
      </c>
      <c r="AC193" s="100">
        <v>0</v>
      </c>
      <c r="AD193" s="19">
        <v>0</v>
      </c>
      <c r="AE193" s="9">
        <v>38687</v>
      </c>
      <c r="AF193" s="9">
        <v>38813</v>
      </c>
      <c r="AG193" s="9">
        <v>39279</v>
      </c>
      <c r="AH193" s="9">
        <v>42735</v>
      </c>
      <c r="AI193" s="112"/>
      <c r="AJ193" s="112"/>
      <c r="AK193" s="112"/>
      <c r="AL193" s="57">
        <f t="shared" si="55"/>
        <v>42.683541867497574</v>
      </c>
      <c r="AM193" s="57">
        <f t="shared" si="56"/>
        <v>0</v>
      </c>
      <c r="AN193" s="57">
        <f t="shared" si="57"/>
        <v>68.16905726035947</v>
      </c>
      <c r="AO193" s="57">
        <f t="shared" si="58"/>
        <v>0</v>
      </c>
      <c r="AP193" s="57">
        <f t="shared" si="59"/>
        <v>0</v>
      </c>
      <c r="AQ193" s="57">
        <f t="shared" si="60"/>
        <v>0</v>
      </c>
      <c r="AR193" s="48">
        <f t="shared" si="61"/>
        <v>100</v>
      </c>
      <c r="AS193" s="35" t="s">
        <v>74</v>
      </c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</row>
    <row r="194" spans="1:55" ht="15">
      <c r="A194" s="8" t="s">
        <v>511</v>
      </c>
      <c r="B194" s="37">
        <v>40728</v>
      </c>
      <c r="C194" s="8" t="s">
        <v>6</v>
      </c>
      <c r="D194" s="8" t="s">
        <v>502</v>
      </c>
      <c r="E194" s="36">
        <v>44.4082017</v>
      </c>
      <c r="F194" s="106">
        <v>8.9226606</v>
      </c>
      <c r="G194" s="111" t="s">
        <v>502</v>
      </c>
      <c r="H194" s="111" t="s">
        <v>502</v>
      </c>
      <c r="I194" s="111" t="s">
        <v>502</v>
      </c>
      <c r="J194" s="111" t="s">
        <v>512</v>
      </c>
      <c r="K194" s="112"/>
      <c r="L194" s="12">
        <v>42460</v>
      </c>
      <c r="M194" s="60" t="s">
        <v>72</v>
      </c>
      <c r="N194" s="111" t="s">
        <v>504</v>
      </c>
      <c r="O194" s="19">
        <v>8392843.6</v>
      </c>
      <c r="P194" s="19">
        <v>200000</v>
      </c>
      <c r="Q194" s="19">
        <v>8392843.6</v>
      </c>
      <c r="R194" s="19">
        <v>0</v>
      </c>
      <c r="S194" s="113">
        <v>720</v>
      </c>
      <c r="T194" s="19">
        <v>945709.72</v>
      </c>
      <c r="U194" s="19">
        <v>89218.44</v>
      </c>
      <c r="V194" s="19">
        <v>1034928.16</v>
      </c>
      <c r="W194" s="17">
        <v>0</v>
      </c>
      <c r="X194" s="19">
        <v>8074410.94</v>
      </c>
      <c r="Y194" s="19">
        <v>312052.46</v>
      </c>
      <c r="Z194" s="19">
        <v>8074410.94</v>
      </c>
      <c r="AA194" s="100">
        <v>720</v>
      </c>
      <c r="AB194" s="100">
        <v>0</v>
      </c>
      <c r="AC194" s="100">
        <v>1694</v>
      </c>
      <c r="AD194" s="19">
        <v>0</v>
      </c>
      <c r="AE194" s="9">
        <v>40374</v>
      </c>
      <c r="AF194" s="9">
        <v>40476</v>
      </c>
      <c r="AG194" s="9">
        <v>40766</v>
      </c>
      <c r="AH194" s="9">
        <v>42735</v>
      </c>
      <c r="AI194" s="112"/>
      <c r="AJ194" s="112"/>
      <c r="AK194" s="114"/>
      <c r="AL194" s="57">
        <f t="shared" si="55"/>
        <v>96.20590260969477</v>
      </c>
      <c r="AM194" s="57">
        <f t="shared" si="56"/>
        <v>235.27777777777777</v>
      </c>
      <c r="AN194" s="57">
        <f t="shared" si="57"/>
        <v>12.81738281207669</v>
      </c>
      <c r="AO194" s="57">
        <f t="shared" si="58"/>
        <v>0</v>
      </c>
      <c r="AP194" s="57">
        <f t="shared" si="59"/>
        <v>0</v>
      </c>
      <c r="AQ194" s="57">
        <f t="shared" si="60"/>
        <v>0</v>
      </c>
      <c r="AR194" s="48">
        <f t="shared" si="61"/>
        <v>100</v>
      </c>
      <c r="AS194" s="35" t="s">
        <v>74</v>
      </c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</row>
    <row r="195" spans="1:55" ht="15">
      <c r="A195" s="8" t="s">
        <v>513</v>
      </c>
      <c r="B195" s="37">
        <v>40736</v>
      </c>
      <c r="C195" s="8" t="s">
        <v>6</v>
      </c>
      <c r="D195" s="8" t="s">
        <v>502</v>
      </c>
      <c r="E195" s="36">
        <v>44.4082017</v>
      </c>
      <c r="F195" s="106">
        <v>8.9226606</v>
      </c>
      <c r="G195" s="111" t="s">
        <v>502</v>
      </c>
      <c r="H195" s="111" t="s">
        <v>502</v>
      </c>
      <c r="I195" s="111" t="s">
        <v>502</v>
      </c>
      <c r="J195" s="111" t="s">
        <v>514</v>
      </c>
      <c r="K195" s="112"/>
      <c r="L195" s="12">
        <v>42460</v>
      </c>
      <c r="M195" s="60" t="s">
        <v>72</v>
      </c>
      <c r="N195" s="111" t="s">
        <v>504</v>
      </c>
      <c r="O195" s="19">
        <v>8538806.56</v>
      </c>
      <c r="P195" s="19">
        <v>330000</v>
      </c>
      <c r="Q195" s="19">
        <v>8538806.56</v>
      </c>
      <c r="R195" s="19">
        <v>0</v>
      </c>
      <c r="S195" s="113">
        <v>900</v>
      </c>
      <c r="T195" s="19">
        <v>-446448.08</v>
      </c>
      <c r="U195" s="19">
        <v>-17947.54</v>
      </c>
      <c r="V195" s="19">
        <v>-464395.62</v>
      </c>
      <c r="W195" s="17">
        <v>0</v>
      </c>
      <c r="X195" s="19">
        <v>19970764.33</v>
      </c>
      <c r="Y195" s="19">
        <v>1042186.05</v>
      </c>
      <c r="Z195" s="19">
        <v>15406691.1</v>
      </c>
      <c r="AA195" s="100">
        <v>303</v>
      </c>
      <c r="AB195" s="100">
        <v>0</v>
      </c>
      <c r="AC195" s="100">
        <v>1582</v>
      </c>
      <c r="AD195" s="19">
        <v>0</v>
      </c>
      <c r="AE195" s="9">
        <v>40479</v>
      </c>
      <c r="AF195" s="9">
        <v>40485</v>
      </c>
      <c r="AG195" s="9">
        <v>40878</v>
      </c>
      <c r="AH195" s="9">
        <v>42832</v>
      </c>
      <c r="AI195" s="112"/>
      <c r="AJ195" s="112"/>
      <c r="AK195" s="114"/>
      <c r="AL195" s="57">
        <f t="shared" si="55"/>
        <v>180.43143373422433</v>
      </c>
      <c r="AM195" s="57">
        <f t="shared" si="56"/>
        <v>175.7777777777778</v>
      </c>
      <c r="AN195" s="57">
        <f t="shared" si="57"/>
        <v>-2.3253772981657335</v>
      </c>
      <c r="AO195" s="57">
        <f t="shared" si="58"/>
        <v>0</v>
      </c>
      <c r="AP195" s="57">
        <f t="shared" si="59"/>
        <v>0</v>
      </c>
      <c r="AQ195" s="57">
        <f t="shared" si="60"/>
        <v>0</v>
      </c>
      <c r="AR195" s="48">
        <f t="shared" si="61"/>
        <v>100</v>
      </c>
      <c r="AS195" s="35" t="s">
        <v>74</v>
      </c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</row>
    <row r="196" spans="1:55" ht="15">
      <c r="A196" s="8" t="s">
        <v>515</v>
      </c>
      <c r="B196" s="37">
        <v>40686</v>
      </c>
      <c r="C196" s="8" t="s">
        <v>6</v>
      </c>
      <c r="D196" s="8" t="s">
        <v>502</v>
      </c>
      <c r="E196" s="36">
        <v>44.4082017</v>
      </c>
      <c r="F196" s="106">
        <v>8.9226606</v>
      </c>
      <c r="G196" s="111" t="s">
        <v>502</v>
      </c>
      <c r="H196" s="111" t="s">
        <v>502</v>
      </c>
      <c r="I196" s="111" t="s">
        <v>502</v>
      </c>
      <c r="J196" s="111" t="s">
        <v>516</v>
      </c>
      <c r="K196" s="112"/>
      <c r="L196" s="12">
        <v>42460</v>
      </c>
      <c r="M196" s="60" t="s">
        <v>72</v>
      </c>
      <c r="N196" s="111" t="s">
        <v>504</v>
      </c>
      <c r="O196" s="19">
        <v>10130411.29</v>
      </c>
      <c r="P196" s="19">
        <v>600000</v>
      </c>
      <c r="Q196" s="19">
        <v>10130411.29</v>
      </c>
      <c r="R196" s="19">
        <v>0</v>
      </c>
      <c r="S196" s="113">
        <v>2559</v>
      </c>
      <c r="T196" s="19">
        <v>9840353.04</v>
      </c>
      <c r="U196" s="19">
        <v>442186.05</v>
      </c>
      <c r="V196" s="19">
        <v>9840353.04</v>
      </c>
      <c r="W196" s="17">
        <v>0</v>
      </c>
      <c r="X196" s="19">
        <v>45499460.13</v>
      </c>
      <c r="Y196" s="19">
        <v>1279483.99</v>
      </c>
      <c r="Z196" s="19">
        <v>36046634.3</v>
      </c>
      <c r="AA196" s="100">
        <v>0</v>
      </c>
      <c r="AB196" s="100">
        <v>0</v>
      </c>
      <c r="AC196" s="100">
        <v>1591</v>
      </c>
      <c r="AD196" s="19">
        <v>0</v>
      </c>
      <c r="AE196" s="9">
        <v>40115</v>
      </c>
      <c r="AF196" s="9">
        <v>40128</v>
      </c>
      <c r="AG196" s="9">
        <v>40869</v>
      </c>
      <c r="AH196" s="9">
        <v>43465</v>
      </c>
      <c r="AI196" s="112"/>
      <c r="AJ196" s="112"/>
      <c r="AK196" s="114"/>
      <c r="AL196" s="57">
        <f t="shared" si="55"/>
        <v>355.82597061565104</v>
      </c>
      <c r="AM196" s="57">
        <f t="shared" si="56"/>
        <v>62.1727237202032</v>
      </c>
      <c r="AN196" s="57">
        <f t="shared" si="57"/>
        <v>21.62740615357714</v>
      </c>
      <c r="AO196" s="57">
        <f t="shared" si="58"/>
        <v>0</v>
      </c>
      <c r="AP196" s="57">
        <f t="shared" si="59"/>
        <v>0</v>
      </c>
      <c r="AQ196" s="57">
        <f t="shared" si="60"/>
        <v>0</v>
      </c>
      <c r="AR196" s="48">
        <f t="shared" si="61"/>
        <v>100</v>
      </c>
      <c r="AS196" s="35" t="s">
        <v>74</v>
      </c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</row>
    <row r="197" spans="1:55" ht="15">
      <c r="A197" s="8" t="s">
        <v>517</v>
      </c>
      <c r="B197" s="37">
        <v>40704</v>
      </c>
      <c r="C197" s="8" t="s">
        <v>6</v>
      </c>
      <c r="D197" s="8" t="s">
        <v>502</v>
      </c>
      <c r="E197" s="36">
        <v>44.4082017</v>
      </c>
      <c r="F197" s="106">
        <v>8.9226606</v>
      </c>
      <c r="G197" s="115" t="s">
        <v>502</v>
      </c>
      <c r="H197" s="115" t="s">
        <v>502</v>
      </c>
      <c r="I197" s="115" t="s">
        <v>502</v>
      </c>
      <c r="J197" s="115" t="s">
        <v>518</v>
      </c>
      <c r="K197" s="103"/>
      <c r="L197" s="12">
        <v>42460</v>
      </c>
      <c r="M197" s="60" t="s">
        <v>72</v>
      </c>
      <c r="N197" s="115" t="s">
        <v>504</v>
      </c>
      <c r="O197" s="19">
        <v>35932303.87</v>
      </c>
      <c r="P197" s="19">
        <v>1111177.78</v>
      </c>
      <c r="Q197" s="19">
        <v>35932303.87</v>
      </c>
      <c r="R197" s="19">
        <v>0</v>
      </c>
      <c r="S197" s="116">
        <v>1095</v>
      </c>
      <c r="T197" s="19">
        <v>9567156.26</v>
      </c>
      <c r="U197" s="19">
        <v>168306.21</v>
      </c>
      <c r="V197" s="19">
        <v>9735462.47</v>
      </c>
      <c r="W197" s="17">
        <v>101</v>
      </c>
      <c r="X197" s="19" t="s">
        <v>519</v>
      </c>
      <c r="Y197" s="19" t="s">
        <v>520</v>
      </c>
      <c r="Z197" s="19" t="s">
        <v>521</v>
      </c>
      <c r="AA197" s="100">
        <v>1196</v>
      </c>
      <c r="AB197" s="100">
        <v>0</v>
      </c>
      <c r="AC197" s="100">
        <v>1861</v>
      </c>
      <c r="AD197" s="19">
        <v>0</v>
      </c>
      <c r="AE197" s="9">
        <v>39083</v>
      </c>
      <c r="AF197" s="9">
        <v>39443</v>
      </c>
      <c r="AG197" s="9">
        <v>40599</v>
      </c>
      <c r="AH197" s="9">
        <v>42861</v>
      </c>
      <c r="AI197" s="103"/>
      <c r="AJ197" s="103"/>
      <c r="AK197" s="114"/>
      <c r="AL197" s="57">
        <f t="shared" si="55"/>
        <v>0</v>
      </c>
      <c r="AM197" s="57">
        <f t="shared" si="56"/>
        <v>169.95433789954336</v>
      </c>
      <c r="AN197" s="57">
        <f t="shared" si="57"/>
        <v>0</v>
      </c>
      <c r="AO197" s="57">
        <f t="shared" si="58"/>
        <v>8.444816053511705</v>
      </c>
      <c r="AP197" s="57">
        <f t="shared" si="59"/>
        <v>8.444816053511705</v>
      </c>
      <c r="AQ197" s="57">
        <f t="shared" si="60"/>
        <v>0</v>
      </c>
      <c r="AR197" s="48">
        <f t="shared" si="61"/>
        <v>100</v>
      </c>
      <c r="AS197" s="35" t="s">
        <v>74</v>
      </c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</row>
    <row r="198" spans="1:55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26"/>
      <c r="M198" s="8"/>
      <c r="N198" s="8"/>
      <c r="O198" s="42"/>
      <c r="P198" s="42"/>
      <c r="Q198" s="42"/>
      <c r="R198" s="42"/>
      <c r="S198" s="42"/>
      <c r="T198" s="42"/>
      <c r="U198" s="42"/>
      <c r="V198" s="42"/>
      <c r="W198" s="44"/>
      <c r="X198" s="42"/>
      <c r="Y198" s="42"/>
      <c r="Z198" s="42"/>
      <c r="AA198" s="44"/>
      <c r="AB198" s="44"/>
      <c r="AC198" s="44"/>
      <c r="AD198" s="42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</row>
    <row r="199" spans="1:55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26"/>
      <c r="M199" s="8"/>
      <c r="N199" s="8"/>
      <c r="O199" s="42"/>
      <c r="P199" s="42"/>
      <c r="Q199" s="42"/>
      <c r="R199" s="42"/>
      <c r="S199" s="42"/>
      <c r="T199" s="42"/>
      <c r="U199" s="42"/>
      <c r="V199" s="42"/>
      <c r="W199" s="44"/>
      <c r="X199" s="42"/>
      <c r="Y199" s="42"/>
      <c r="Z199" s="42"/>
      <c r="AA199" s="44"/>
      <c r="AB199" s="44"/>
      <c r="AC199" s="44"/>
      <c r="AD199" s="42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</row>
    <row r="200" spans="1:55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26"/>
      <c r="M200" s="8"/>
      <c r="N200" s="8"/>
      <c r="O200" s="42"/>
      <c r="P200" s="42"/>
      <c r="Q200" s="42"/>
      <c r="R200" s="42"/>
      <c r="S200" s="42"/>
      <c r="T200" s="42"/>
      <c r="U200" s="42"/>
      <c r="V200" s="42"/>
      <c r="W200" s="44"/>
      <c r="X200" s="42"/>
      <c r="Y200" s="42"/>
      <c r="Z200" s="42"/>
      <c r="AA200" s="44"/>
      <c r="AB200" s="44"/>
      <c r="AC200" s="44"/>
      <c r="AD200" s="42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</row>
    <row r="201" spans="1:55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26"/>
      <c r="M201" s="8"/>
      <c r="N201" s="8"/>
      <c r="O201" s="42"/>
      <c r="P201" s="42"/>
      <c r="Q201" s="42"/>
      <c r="R201" s="42"/>
      <c r="S201" s="42"/>
      <c r="T201" s="42"/>
      <c r="U201" s="42"/>
      <c r="V201" s="42"/>
      <c r="W201" s="44"/>
      <c r="X201" s="42"/>
      <c r="Y201" s="42"/>
      <c r="Z201" s="42"/>
      <c r="AA201" s="44"/>
      <c r="AB201" s="44"/>
      <c r="AC201" s="44"/>
      <c r="AD201" s="42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</row>
    <row r="202" spans="1:55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26"/>
      <c r="M202" s="8"/>
      <c r="N202" s="8"/>
      <c r="O202" s="42"/>
      <c r="P202" s="42"/>
      <c r="Q202" s="42"/>
      <c r="R202" s="42"/>
      <c r="S202" s="42"/>
      <c r="T202" s="42"/>
      <c r="U202" s="42"/>
      <c r="V202" s="42"/>
      <c r="W202" s="44"/>
      <c r="X202" s="42"/>
      <c r="Y202" s="42"/>
      <c r="Z202" s="42"/>
      <c r="AA202" s="44"/>
      <c r="AB202" s="44"/>
      <c r="AC202" s="44"/>
      <c r="AD202" s="42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</row>
    <row r="203" spans="1:55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26"/>
      <c r="M203" s="8"/>
      <c r="N203" s="8"/>
      <c r="O203" s="42"/>
      <c r="P203" s="42"/>
      <c r="Q203" s="42"/>
      <c r="R203" s="42"/>
      <c r="S203" s="42"/>
      <c r="T203" s="42"/>
      <c r="U203" s="42"/>
      <c r="V203" s="42"/>
      <c r="W203" s="44"/>
      <c r="X203" s="42"/>
      <c r="Y203" s="42"/>
      <c r="Z203" s="42"/>
      <c r="AA203" s="44"/>
      <c r="AB203" s="44"/>
      <c r="AC203" s="44"/>
      <c r="AD203" s="42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</row>
    <row r="204" spans="1:55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26"/>
      <c r="M204" s="8"/>
      <c r="N204" s="8"/>
      <c r="O204" s="42"/>
      <c r="P204" s="42"/>
      <c r="Q204" s="42"/>
      <c r="R204" s="42"/>
      <c r="S204" s="42"/>
      <c r="T204" s="42"/>
      <c r="U204" s="42"/>
      <c r="V204" s="42"/>
      <c r="W204" s="44"/>
      <c r="X204" s="42"/>
      <c r="Y204" s="42"/>
      <c r="Z204" s="42"/>
      <c r="AA204" s="44"/>
      <c r="AB204" s="44"/>
      <c r="AC204" s="44"/>
      <c r="AD204" s="42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</row>
    <row r="205" spans="1:55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26"/>
      <c r="M205" s="8"/>
      <c r="N205" s="8"/>
      <c r="O205" s="42"/>
      <c r="P205" s="42"/>
      <c r="Q205" s="42"/>
      <c r="R205" s="42"/>
      <c r="S205" s="42"/>
      <c r="T205" s="42"/>
      <c r="U205" s="42"/>
      <c r="V205" s="42"/>
      <c r="W205" s="44"/>
      <c r="X205" s="42"/>
      <c r="Y205" s="42"/>
      <c r="Z205" s="42"/>
      <c r="AA205" s="44"/>
      <c r="AB205" s="44"/>
      <c r="AC205" s="44"/>
      <c r="AD205" s="42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</row>
    <row r="206" spans="1:55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26"/>
      <c r="M206" s="8"/>
      <c r="N206" s="8"/>
      <c r="O206" s="42"/>
      <c r="P206" s="42"/>
      <c r="Q206" s="42"/>
      <c r="R206" s="42"/>
      <c r="S206" s="42"/>
      <c r="T206" s="42"/>
      <c r="U206" s="42"/>
      <c r="V206" s="42"/>
      <c r="W206" s="44"/>
      <c r="X206" s="42"/>
      <c r="Y206" s="42"/>
      <c r="Z206" s="42"/>
      <c r="AA206" s="44"/>
      <c r="AB206" s="44"/>
      <c r="AC206" s="44"/>
      <c r="AD206" s="42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</row>
    <row r="207" spans="1:55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26"/>
      <c r="M207" s="8"/>
      <c r="N207" s="8"/>
      <c r="O207" s="42"/>
      <c r="P207" s="42"/>
      <c r="Q207" s="42"/>
      <c r="R207" s="42"/>
      <c r="S207" s="42"/>
      <c r="T207" s="42"/>
      <c r="U207" s="42"/>
      <c r="V207" s="42"/>
      <c r="W207" s="44"/>
      <c r="X207" s="42"/>
      <c r="Y207" s="42"/>
      <c r="Z207" s="42"/>
      <c r="AA207" s="44"/>
      <c r="AB207" s="44"/>
      <c r="AC207" s="44"/>
      <c r="AD207" s="42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</row>
    <row r="208" spans="1:55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26"/>
      <c r="M208" s="8"/>
      <c r="N208" s="8"/>
      <c r="O208" s="42"/>
      <c r="P208" s="42"/>
      <c r="Q208" s="42"/>
      <c r="R208" s="42"/>
      <c r="S208" s="42"/>
      <c r="T208" s="42"/>
      <c r="U208" s="42"/>
      <c r="V208" s="42"/>
      <c r="W208" s="44"/>
      <c r="X208" s="42"/>
      <c r="Y208" s="42"/>
      <c r="Z208" s="42"/>
      <c r="AA208" s="44"/>
      <c r="AB208" s="44"/>
      <c r="AC208" s="44"/>
      <c r="AD208" s="42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</row>
    <row r="209" spans="1:55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26"/>
      <c r="M209" s="8"/>
      <c r="N209" s="8"/>
      <c r="O209" s="42"/>
      <c r="P209" s="42"/>
      <c r="Q209" s="42"/>
      <c r="R209" s="42"/>
      <c r="S209" s="42"/>
      <c r="T209" s="42"/>
      <c r="U209" s="42"/>
      <c r="V209" s="42"/>
      <c r="W209" s="44"/>
      <c r="X209" s="42"/>
      <c r="Y209" s="42"/>
      <c r="Z209" s="42"/>
      <c r="AA209" s="44"/>
      <c r="AB209" s="44"/>
      <c r="AC209" s="44"/>
      <c r="AD209" s="42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</row>
    <row r="210" spans="1:55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26"/>
      <c r="M210" s="8"/>
      <c r="N210" s="8"/>
      <c r="O210" s="42"/>
      <c r="P210" s="42"/>
      <c r="Q210" s="42"/>
      <c r="R210" s="42"/>
      <c r="S210" s="42"/>
      <c r="T210" s="42"/>
      <c r="U210" s="42"/>
      <c r="V210" s="42"/>
      <c r="W210" s="44"/>
      <c r="X210" s="42"/>
      <c r="Y210" s="42"/>
      <c r="Z210" s="42"/>
      <c r="AA210" s="44"/>
      <c r="AB210" s="44"/>
      <c r="AC210" s="44"/>
      <c r="AD210" s="42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</row>
    <row r="211" spans="1:55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26"/>
      <c r="M211" s="8"/>
      <c r="N211" s="8"/>
      <c r="O211" s="42"/>
      <c r="P211" s="42"/>
      <c r="Q211" s="42"/>
      <c r="R211" s="42"/>
      <c r="S211" s="42"/>
      <c r="T211" s="42"/>
      <c r="U211" s="42"/>
      <c r="V211" s="42"/>
      <c r="W211" s="44"/>
      <c r="X211" s="42"/>
      <c r="Y211" s="42"/>
      <c r="Z211" s="42"/>
      <c r="AA211" s="44"/>
      <c r="AB211" s="44"/>
      <c r="AC211" s="44"/>
      <c r="AD211" s="42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</row>
    <row r="212" spans="1:55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26"/>
      <c r="M212" s="8"/>
      <c r="N212" s="8"/>
      <c r="O212" s="42"/>
      <c r="P212" s="42"/>
      <c r="Q212" s="42"/>
      <c r="R212" s="42"/>
      <c r="S212" s="42"/>
      <c r="T212" s="42"/>
      <c r="U212" s="42"/>
      <c r="V212" s="42"/>
      <c r="W212" s="44"/>
      <c r="X212" s="42"/>
      <c r="Y212" s="42"/>
      <c r="Z212" s="42"/>
      <c r="AA212" s="44"/>
      <c r="AB212" s="44"/>
      <c r="AC212" s="44"/>
      <c r="AD212" s="42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</row>
    <row r="213" spans="1:55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26"/>
      <c r="M213" s="8"/>
      <c r="N213" s="8"/>
      <c r="O213" s="42"/>
      <c r="P213" s="42"/>
      <c r="Q213" s="42"/>
      <c r="R213" s="42"/>
      <c r="S213" s="42"/>
      <c r="T213" s="42"/>
      <c r="U213" s="42"/>
      <c r="V213" s="42"/>
      <c r="W213" s="44"/>
      <c r="X213" s="42"/>
      <c r="Y213" s="42"/>
      <c r="Z213" s="42"/>
      <c r="AA213" s="44"/>
      <c r="AB213" s="44"/>
      <c r="AC213" s="44"/>
      <c r="AD213" s="42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</row>
    <row r="214" spans="1:55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26"/>
      <c r="M214" s="8"/>
      <c r="N214" s="8"/>
      <c r="O214" s="42"/>
      <c r="P214" s="42"/>
      <c r="Q214" s="42"/>
      <c r="R214" s="42"/>
      <c r="S214" s="42"/>
      <c r="T214" s="42"/>
      <c r="U214" s="42"/>
      <c r="V214" s="42"/>
      <c r="W214" s="44"/>
      <c r="X214" s="42"/>
      <c r="Y214" s="42"/>
      <c r="Z214" s="42"/>
      <c r="AA214" s="44"/>
      <c r="AB214" s="44"/>
      <c r="AC214" s="44"/>
      <c r="AD214" s="42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</row>
    <row r="215" spans="1:55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26"/>
      <c r="M215" s="8"/>
      <c r="N215" s="8"/>
      <c r="O215" s="42"/>
      <c r="P215" s="42"/>
      <c r="Q215" s="42"/>
      <c r="R215" s="42"/>
      <c r="S215" s="42"/>
      <c r="T215" s="42"/>
      <c r="U215" s="42"/>
      <c r="V215" s="42"/>
      <c r="W215" s="44"/>
      <c r="X215" s="42"/>
      <c r="Y215" s="42"/>
      <c r="Z215" s="42"/>
      <c r="AA215" s="44"/>
      <c r="AB215" s="44"/>
      <c r="AC215" s="44"/>
      <c r="AD215" s="42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</row>
    <row r="216" spans="1:55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26"/>
      <c r="M216" s="8"/>
      <c r="N216" s="8"/>
      <c r="O216" s="42"/>
      <c r="P216" s="42"/>
      <c r="Q216" s="42"/>
      <c r="R216" s="42"/>
      <c r="S216" s="42"/>
      <c r="T216" s="42"/>
      <c r="U216" s="42"/>
      <c r="V216" s="42"/>
      <c r="W216" s="44"/>
      <c r="X216" s="42"/>
      <c r="Y216" s="42"/>
      <c r="Z216" s="42"/>
      <c r="AA216" s="44"/>
      <c r="AB216" s="44"/>
      <c r="AC216" s="44"/>
      <c r="AD216" s="42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</row>
    <row r="217" spans="1:55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26"/>
      <c r="M217" s="8"/>
      <c r="N217" s="8"/>
      <c r="O217" s="42"/>
      <c r="P217" s="42"/>
      <c r="Q217" s="42"/>
      <c r="R217" s="42"/>
      <c r="S217" s="42"/>
      <c r="T217" s="42"/>
      <c r="U217" s="42"/>
      <c r="V217" s="42"/>
      <c r="W217" s="44"/>
      <c r="X217" s="42"/>
      <c r="Y217" s="42"/>
      <c r="Z217" s="42"/>
      <c r="AA217" s="44"/>
      <c r="AB217" s="44"/>
      <c r="AC217" s="44"/>
      <c r="AD217" s="42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</row>
    <row r="218" spans="1:55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26"/>
      <c r="M218" s="8"/>
      <c r="N218" s="8"/>
      <c r="O218" s="42"/>
      <c r="P218" s="42"/>
      <c r="Q218" s="42"/>
      <c r="R218" s="42"/>
      <c r="S218" s="42"/>
      <c r="T218" s="42"/>
      <c r="U218" s="42"/>
      <c r="V218" s="42"/>
      <c r="W218" s="44"/>
      <c r="X218" s="42"/>
      <c r="Y218" s="42"/>
      <c r="Z218" s="42"/>
      <c r="AA218" s="44"/>
      <c r="AB218" s="44"/>
      <c r="AC218" s="44"/>
      <c r="AD218" s="42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</row>
    <row r="219" spans="1:55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26"/>
      <c r="M219" s="8"/>
      <c r="N219" s="8"/>
      <c r="O219" s="42"/>
      <c r="P219" s="42"/>
      <c r="Q219" s="42"/>
      <c r="R219" s="42"/>
      <c r="S219" s="42"/>
      <c r="T219" s="42"/>
      <c r="U219" s="42"/>
      <c r="V219" s="42"/>
      <c r="W219" s="44"/>
      <c r="X219" s="42"/>
      <c r="Y219" s="42"/>
      <c r="Z219" s="42"/>
      <c r="AA219" s="44"/>
      <c r="AB219" s="44"/>
      <c r="AC219" s="44"/>
      <c r="AD219" s="42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</row>
    <row r="220" spans="1:55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26"/>
      <c r="M220" s="8"/>
      <c r="N220" s="8"/>
      <c r="O220" s="42"/>
      <c r="P220" s="42"/>
      <c r="Q220" s="42"/>
      <c r="R220" s="42"/>
      <c r="S220" s="42"/>
      <c r="T220" s="42"/>
      <c r="U220" s="42"/>
      <c r="V220" s="42"/>
      <c r="W220" s="44"/>
      <c r="X220" s="42"/>
      <c r="Y220" s="42"/>
      <c r="Z220" s="42"/>
      <c r="AA220" s="44"/>
      <c r="AB220" s="44"/>
      <c r="AC220" s="44"/>
      <c r="AD220" s="42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</row>
    <row r="221" spans="1:55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26"/>
      <c r="M221" s="8"/>
      <c r="N221" s="8"/>
      <c r="O221" s="42"/>
      <c r="P221" s="42"/>
      <c r="Q221" s="42"/>
      <c r="R221" s="42"/>
      <c r="S221" s="42"/>
      <c r="T221" s="42"/>
      <c r="U221" s="42"/>
      <c r="V221" s="42"/>
      <c r="W221" s="44"/>
      <c r="X221" s="42"/>
      <c r="Y221" s="42"/>
      <c r="Z221" s="42"/>
      <c r="AA221" s="44"/>
      <c r="AB221" s="44"/>
      <c r="AC221" s="44"/>
      <c r="AD221" s="42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</row>
    <row r="222" spans="1:55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26"/>
      <c r="M222" s="8"/>
      <c r="N222" s="8"/>
      <c r="O222" s="42"/>
      <c r="P222" s="42"/>
      <c r="Q222" s="42"/>
      <c r="R222" s="42"/>
      <c r="S222" s="42"/>
      <c r="T222" s="42"/>
      <c r="U222" s="42"/>
      <c r="V222" s="42"/>
      <c r="W222" s="44"/>
      <c r="X222" s="42"/>
      <c r="Y222" s="42"/>
      <c r="Z222" s="42"/>
      <c r="AA222" s="44"/>
      <c r="AB222" s="44"/>
      <c r="AC222" s="44"/>
      <c r="AD222" s="42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</row>
    <row r="223" spans="1:55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26"/>
      <c r="M223" s="8"/>
      <c r="N223" s="8"/>
      <c r="O223" s="42"/>
      <c r="P223" s="42"/>
      <c r="Q223" s="42"/>
      <c r="R223" s="42"/>
      <c r="S223" s="42"/>
      <c r="T223" s="42"/>
      <c r="U223" s="42"/>
      <c r="V223" s="42"/>
      <c r="W223" s="44"/>
      <c r="X223" s="42"/>
      <c r="Y223" s="42"/>
      <c r="Z223" s="42"/>
      <c r="AA223" s="44"/>
      <c r="AB223" s="44"/>
      <c r="AC223" s="44"/>
      <c r="AD223" s="42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</row>
    <row r="224" spans="1:55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26"/>
      <c r="M224" s="8"/>
      <c r="N224" s="8"/>
      <c r="O224" s="42"/>
      <c r="P224" s="42"/>
      <c r="Q224" s="42"/>
      <c r="R224" s="42"/>
      <c r="S224" s="42"/>
      <c r="T224" s="42"/>
      <c r="U224" s="42"/>
      <c r="V224" s="42"/>
      <c r="W224" s="44"/>
      <c r="X224" s="42"/>
      <c r="Y224" s="42"/>
      <c r="Z224" s="42"/>
      <c r="AA224" s="44"/>
      <c r="AB224" s="44"/>
      <c r="AC224" s="44"/>
      <c r="AD224" s="42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</row>
    <row r="225" spans="1:55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26"/>
      <c r="M225" s="8"/>
      <c r="N225" s="8"/>
      <c r="O225" s="42"/>
      <c r="P225" s="42"/>
      <c r="Q225" s="42"/>
      <c r="R225" s="42"/>
      <c r="S225" s="42"/>
      <c r="T225" s="42"/>
      <c r="U225" s="42"/>
      <c r="V225" s="42"/>
      <c r="W225" s="44"/>
      <c r="X225" s="42"/>
      <c r="Y225" s="42"/>
      <c r="Z225" s="42"/>
      <c r="AA225" s="44"/>
      <c r="AB225" s="44"/>
      <c r="AC225" s="44"/>
      <c r="AD225" s="42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</row>
    <row r="226" spans="1:55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26"/>
      <c r="M226" s="8"/>
      <c r="N226" s="8"/>
      <c r="O226" s="42"/>
      <c r="P226" s="42"/>
      <c r="Q226" s="42"/>
      <c r="R226" s="42"/>
      <c r="S226" s="42"/>
      <c r="T226" s="42"/>
      <c r="U226" s="42"/>
      <c r="V226" s="42"/>
      <c r="W226" s="44"/>
      <c r="X226" s="42"/>
      <c r="Y226" s="42"/>
      <c r="Z226" s="42"/>
      <c r="AA226" s="44"/>
      <c r="AB226" s="44"/>
      <c r="AC226" s="44"/>
      <c r="AD226" s="42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</row>
    <row r="227" spans="1:55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26"/>
      <c r="M227" s="8"/>
      <c r="N227" s="8"/>
      <c r="O227" s="42"/>
      <c r="P227" s="42"/>
      <c r="Q227" s="42"/>
      <c r="R227" s="42"/>
      <c r="S227" s="42"/>
      <c r="T227" s="42"/>
      <c r="U227" s="42"/>
      <c r="V227" s="42"/>
      <c r="W227" s="44"/>
      <c r="X227" s="42"/>
      <c r="Y227" s="42"/>
      <c r="Z227" s="42"/>
      <c r="AA227" s="44"/>
      <c r="AB227" s="44"/>
      <c r="AC227" s="44"/>
      <c r="AD227" s="42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</row>
    <row r="228" spans="1:55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26"/>
      <c r="M228" s="8"/>
      <c r="N228" s="8"/>
      <c r="O228" s="42"/>
      <c r="P228" s="42"/>
      <c r="Q228" s="42"/>
      <c r="R228" s="42"/>
      <c r="S228" s="42"/>
      <c r="T228" s="42"/>
      <c r="U228" s="42"/>
      <c r="V228" s="42"/>
      <c r="W228" s="44"/>
      <c r="X228" s="42"/>
      <c r="Y228" s="42"/>
      <c r="Z228" s="42"/>
      <c r="AA228" s="44"/>
      <c r="AB228" s="44"/>
      <c r="AC228" s="44"/>
      <c r="AD228" s="42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</row>
    <row r="229" spans="1:55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26"/>
      <c r="M229" s="8"/>
      <c r="N229" s="8"/>
      <c r="O229" s="42"/>
      <c r="P229" s="42"/>
      <c r="Q229" s="42"/>
      <c r="R229" s="42"/>
      <c r="S229" s="42"/>
      <c r="T229" s="42"/>
      <c r="U229" s="42"/>
      <c r="V229" s="42"/>
      <c r="W229" s="44"/>
      <c r="X229" s="42"/>
      <c r="Y229" s="42"/>
      <c r="Z229" s="42"/>
      <c r="AA229" s="44"/>
      <c r="AB229" s="44"/>
      <c r="AC229" s="44"/>
      <c r="AD229" s="42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</row>
    <row r="230" spans="1:55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26"/>
      <c r="M230" s="8"/>
      <c r="N230" s="8"/>
      <c r="O230" s="42"/>
      <c r="P230" s="42"/>
      <c r="Q230" s="42"/>
      <c r="R230" s="42"/>
      <c r="S230" s="42"/>
      <c r="T230" s="42"/>
      <c r="U230" s="42"/>
      <c r="V230" s="42"/>
      <c r="W230" s="44"/>
      <c r="X230" s="42"/>
      <c r="Y230" s="42"/>
      <c r="Z230" s="42"/>
      <c r="AA230" s="44"/>
      <c r="AB230" s="44"/>
      <c r="AC230" s="44"/>
      <c r="AD230" s="42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</row>
    <row r="231" spans="1:55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26"/>
      <c r="M231" s="8"/>
      <c r="N231" s="8"/>
      <c r="O231" s="42"/>
      <c r="P231" s="42"/>
      <c r="Q231" s="42"/>
      <c r="R231" s="42"/>
      <c r="S231" s="42"/>
      <c r="T231" s="42"/>
      <c r="U231" s="42"/>
      <c r="V231" s="42"/>
      <c r="W231" s="44"/>
      <c r="X231" s="42"/>
      <c r="Y231" s="42"/>
      <c r="Z231" s="42"/>
      <c r="AA231" s="44"/>
      <c r="AB231" s="44"/>
      <c r="AC231" s="44"/>
      <c r="AD231" s="42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</row>
    <row r="232" spans="1:55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26"/>
      <c r="M232" s="8"/>
      <c r="N232" s="8"/>
      <c r="O232" s="42"/>
      <c r="P232" s="42"/>
      <c r="Q232" s="42"/>
      <c r="R232" s="42"/>
      <c r="S232" s="42"/>
      <c r="T232" s="42"/>
      <c r="U232" s="42"/>
      <c r="V232" s="42"/>
      <c r="W232" s="44"/>
      <c r="X232" s="42"/>
      <c r="Y232" s="42"/>
      <c r="Z232" s="42"/>
      <c r="AA232" s="44"/>
      <c r="AB232" s="44"/>
      <c r="AC232" s="44"/>
      <c r="AD232" s="42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</row>
    <row r="233" spans="1:55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26"/>
      <c r="M233" s="8"/>
      <c r="N233" s="8"/>
      <c r="O233" s="42"/>
      <c r="P233" s="42"/>
      <c r="Q233" s="42"/>
      <c r="R233" s="42"/>
      <c r="S233" s="42"/>
      <c r="T233" s="42"/>
      <c r="U233" s="42"/>
      <c r="V233" s="42"/>
      <c r="W233" s="44"/>
      <c r="X233" s="42"/>
      <c r="Y233" s="42"/>
      <c r="Z233" s="42"/>
      <c r="AA233" s="44"/>
      <c r="AB233" s="44"/>
      <c r="AC233" s="44"/>
      <c r="AD233" s="42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</row>
    <row r="234" spans="1:55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26"/>
      <c r="M234" s="8"/>
      <c r="N234" s="8"/>
      <c r="O234" s="42"/>
      <c r="P234" s="42"/>
      <c r="Q234" s="42"/>
      <c r="R234" s="42"/>
      <c r="S234" s="42"/>
      <c r="T234" s="42"/>
      <c r="U234" s="42"/>
      <c r="V234" s="42"/>
      <c r="W234" s="44"/>
      <c r="X234" s="42"/>
      <c r="Y234" s="42"/>
      <c r="Z234" s="42"/>
      <c r="AA234" s="44"/>
      <c r="AB234" s="44"/>
      <c r="AC234" s="44"/>
      <c r="AD234" s="42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</row>
    <row r="235" spans="1:55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26"/>
      <c r="M235" s="8"/>
      <c r="N235" s="8"/>
      <c r="O235" s="42"/>
      <c r="P235" s="42"/>
      <c r="Q235" s="42"/>
      <c r="R235" s="42"/>
      <c r="S235" s="42"/>
      <c r="T235" s="42"/>
      <c r="U235" s="42"/>
      <c r="V235" s="42"/>
      <c r="W235" s="44"/>
      <c r="X235" s="42"/>
      <c r="Y235" s="42"/>
      <c r="Z235" s="42"/>
      <c r="AA235" s="44"/>
      <c r="AB235" s="44"/>
      <c r="AC235" s="44"/>
      <c r="AD235" s="42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</row>
    <row r="236" spans="1:55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26"/>
      <c r="M236" s="8"/>
      <c r="N236" s="8"/>
      <c r="O236" s="42"/>
      <c r="P236" s="42"/>
      <c r="Q236" s="42"/>
      <c r="R236" s="42"/>
      <c r="S236" s="42"/>
      <c r="T236" s="42"/>
      <c r="U236" s="42"/>
      <c r="V236" s="42"/>
      <c r="W236" s="44"/>
      <c r="X236" s="42"/>
      <c r="Y236" s="42"/>
      <c r="Z236" s="42"/>
      <c r="AA236" s="44"/>
      <c r="AB236" s="44"/>
      <c r="AC236" s="44"/>
      <c r="AD236" s="42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</row>
    <row r="237" spans="1:55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26"/>
      <c r="M237" s="8"/>
      <c r="N237" s="8"/>
      <c r="O237" s="42"/>
      <c r="P237" s="42"/>
      <c r="Q237" s="42"/>
      <c r="R237" s="42"/>
      <c r="S237" s="42"/>
      <c r="T237" s="42"/>
      <c r="U237" s="42"/>
      <c r="V237" s="42"/>
      <c r="W237" s="44"/>
      <c r="X237" s="42"/>
      <c r="Y237" s="42"/>
      <c r="Z237" s="42"/>
      <c r="AA237" s="44"/>
      <c r="AB237" s="44"/>
      <c r="AC237" s="44"/>
      <c r="AD237" s="42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</row>
    <row r="238" spans="1:55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26"/>
      <c r="M238" s="8"/>
      <c r="N238" s="8"/>
      <c r="O238" s="42"/>
      <c r="P238" s="42"/>
      <c r="Q238" s="42"/>
      <c r="R238" s="42"/>
      <c r="S238" s="42"/>
      <c r="T238" s="42"/>
      <c r="U238" s="42"/>
      <c r="V238" s="42"/>
      <c r="W238" s="44"/>
      <c r="X238" s="42"/>
      <c r="Y238" s="42"/>
      <c r="Z238" s="42"/>
      <c r="AA238" s="44"/>
      <c r="AB238" s="44"/>
      <c r="AC238" s="44"/>
      <c r="AD238" s="42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</row>
    <row r="239" spans="1:55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26"/>
      <c r="M239" s="8"/>
      <c r="N239" s="8"/>
      <c r="O239" s="42"/>
      <c r="P239" s="42"/>
      <c r="Q239" s="42"/>
      <c r="R239" s="42"/>
      <c r="S239" s="42"/>
      <c r="T239" s="42"/>
      <c r="U239" s="42"/>
      <c r="V239" s="42"/>
      <c r="W239" s="44"/>
      <c r="X239" s="42"/>
      <c r="Y239" s="42"/>
      <c r="Z239" s="42"/>
      <c r="AA239" s="44"/>
      <c r="AB239" s="44"/>
      <c r="AC239" s="44"/>
      <c r="AD239" s="42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</row>
    <row r="240" spans="1:55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26"/>
      <c r="M240" s="8"/>
      <c r="N240" s="8"/>
      <c r="O240" s="42"/>
      <c r="P240" s="42"/>
      <c r="Q240" s="42"/>
      <c r="R240" s="42"/>
      <c r="S240" s="42"/>
      <c r="T240" s="42"/>
      <c r="U240" s="42"/>
      <c r="V240" s="42"/>
      <c r="W240" s="44"/>
      <c r="X240" s="42"/>
      <c r="Y240" s="42"/>
      <c r="Z240" s="42"/>
      <c r="AA240" s="44"/>
      <c r="AB240" s="44"/>
      <c r="AC240" s="44"/>
      <c r="AD240" s="42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</row>
    <row r="241" spans="1:55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26"/>
      <c r="M241" s="8"/>
      <c r="N241" s="8"/>
      <c r="O241" s="42"/>
      <c r="P241" s="42"/>
      <c r="Q241" s="42"/>
      <c r="R241" s="42"/>
      <c r="S241" s="42"/>
      <c r="T241" s="42"/>
      <c r="U241" s="42"/>
      <c r="V241" s="42"/>
      <c r="W241" s="44"/>
      <c r="X241" s="42"/>
      <c r="Y241" s="42"/>
      <c r="Z241" s="42"/>
      <c r="AA241" s="44"/>
      <c r="AB241" s="44"/>
      <c r="AC241" s="44"/>
      <c r="AD241" s="42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</row>
    <row r="242" spans="1:55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26"/>
      <c r="M242" s="8"/>
      <c r="N242" s="8"/>
      <c r="O242" s="42"/>
      <c r="P242" s="42"/>
      <c r="Q242" s="42"/>
      <c r="R242" s="42"/>
      <c r="S242" s="42"/>
      <c r="T242" s="42"/>
      <c r="U242" s="42"/>
      <c r="V242" s="42"/>
      <c r="W242" s="44"/>
      <c r="X242" s="42"/>
      <c r="Y242" s="42"/>
      <c r="Z242" s="42"/>
      <c r="AA242" s="44"/>
      <c r="AB242" s="44"/>
      <c r="AC242" s="44"/>
      <c r="AD242" s="42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</row>
    <row r="243" spans="1:55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26"/>
      <c r="M243" s="8"/>
      <c r="N243" s="8"/>
      <c r="O243" s="42"/>
      <c r="P243" s="42"/>
      <c r="Q243" s="42"/>
      <c r="R243" s="42"/>
      <c r="S243" s="42"/>
      <c r="T243" s="42"/>
      <c r="U243" s="42"/>
      <c r="V243" s="42"/>
      <c r="W243" s="44"/>
      <c r="X243" s="42"/>
      <c r="Y243" s="42"/>
      <c r="Z243" s="42"/>
      <c r="AA243" s="44"/>
      <c r="AB243" s="44"/>
      <c r="AC243" s="44"/>
      <c r="AD243" s="42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</row>
    <row r="244" spans="1:55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26"/>
      <c r="M244" s="8"/>
      <c r="N244" s="8"/>
      <c r="O244" s="42"/>
      <c r="P244" s="42"/>
      <c r="Q244" s="42"/>
      <c r="R244" s="42"/>
      <c r="S244" s="42"/>
      <c r="T244" s="42"/>
      <c r="U244" s="42"/>
      <c r="V244" s="42"/>
      <c r="W244" s="44"/>
      <c r="X244" s="42"/>
      <c r="Y244" s="42"/>
      <c r="Z244" s="42"/>
      <c r="AA244" s="44"/>
      <c r="AB244" s="44"/>
      <c r="AC244" s="44"/>
      <c r="AD244" s="42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</row>
    <row r="245" spans="1:55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26"/>
      <c r="M245" s="8"/>
      <c r="N245" s="8"/>
      <c r="O245" s="42"/>
      <c r="P245" s="42"/>
      <c r="Q245" s="42"/>
      <c r="R245" s="42"/>
      <c r="S245" s="42"/>
      <c r="T245" s="42"/>
      <c r="U245" s="42"/>
      <c r="V245" s="42"/>
      <c r="W245" s="44"/>
      <c r="X245" s="42"/>
      <c r="Y245" s="42"/>
      <c r="Z245" s="42"/>
      <c r="AA245" s="44"/>
      <c r="AB245" s="44"/>
      <c r="AC245" s="44"/>
      <c r="AD245" s="42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</row>
    <row r="246" spans="1:55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26"/>
      <c r="M246" s="8"/>
      <c r="N246" s="8"/>
      <c r="O246" s="42"/>
      <c r="P246" s="42"/>
      <c r="Q246" s="42"/>
      <c r="R246" s="42"/>
      <c r="S246" s="42"/>
      <c r="T246" s="42"/>
      <c r="U246" s="42"/>
      <c r="V246" s="42"/>
      <c r="W246" s="44"/>
      <c r="X246" s="42"/>
      <c r="Y246" s="42"/>
      <c r="Z246" s="42"/>
      <c r="AA246" s="44"/>
      <c r="AB246" s="44"/>
      <c r="AC246" s="44"/>
      <c r="AD246" s="42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</row>
    <row r="247" spans="1:55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26"/>
      <c r="M247" s="8"/>
      <c r="N247" s="8"/>
      <c r="O247" s="42"/>
      <c r="P247" s="42"/>
      <c r="Q247" s="42"/>
      <c r="R247" s="42"/>
      <c r="S247" s="42"/>
      <c r="T247" s="42"/>
      <c r="U247" s="42"/>
      <c r="V247" s="42"/>
      <c r="W247" s="44"/>
      <c r="X247" s="42"/>
      <c r="Y247" s="42"/>
      <c r="Z247" s="42"/>
      <c r="AA247" s="44"/>
      <c r="AB247" s="44"/>
      <c r="AC247" s="44"/>
      <c r="AD247" s="42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</row>
    <row r="248" spans="1:55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26"/>
      <c r="M248" s="8"/>
      <c r="N248" s="8"/>
      <c r="O248" s="42"/>
      <c r="P248" s="42"/>
      <c r="Q248" s="42"/>
      <c r="R248" s="42"/>
      <c r="S248" s="42"/>
      <c r="T248" s="42"/>
      <c r="U248" s="42"/>
      <c r="V248" s="42"/>
      <c r="W248" s="44"/>
      <c r="X248" s="42"/>
      <c r="Y248" s="42"/>
      <c r="Z248" s="42"/>
      <c r="AA248" s="44"/>
      <c r="AB248" s="44"/>
      <c r="AC248" s="44"/>
      <c r="AD248" s="42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</row>
    <row r="249" spans="1:55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26"/>
      <c r="M249" s="8"/>
      <c r="N249" s="8"/>
      <c r="O249" s="42"/>
      <c r="P249" s="42"/>
      <c r="Q249" s="42"/>
      <c r="R249" s="42"/>
      <c r="S249" s="42"/>
      <c r="T249" s="42"/>
      <c r="U249" s="42"/>
      <c r="V249" s="42"/>
      <c r="W249" s="44"/>
      <c r="X249" s="42"/>
      <c r="Y249" s="42"/>
      <c r="Z249" s="42"/>
      <c r="AA249" s="44"/>
      <c r="AB249" s="44"/>
      <c r="AC249" s="44"/>
      <c r="AD249" s="42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</row>
    <row r="250" spans="1:55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26"/>
      <c r="M250" s="8"/>
      <c r="N250" s="8"/>
      <c r="O250" s="42"/>
      <c r="P250" s="42"/>
      <c r="Q250" s="42"/>
      <c r="R250" s="42"/>
      <c r="S250" s="42"/>
      <c r="T250" s="42"/>
      <c r="U250" s="42"/>
      <c r="V250" s="42"/>
      <c r="W250" s="44"/>
      <c r="X250" s="42"/>
      <c r="Y250" s="42"/>
      <c r="Z250" s="42"/>
      <c r="AA250" s="44"/>
      <c r="AB250" s="44"/>
      <c r="AC250" s="44"/>
      <c r="AD250" s="42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</row>
    <row r="251" spans="1:55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26"/>
      <c r="M251" s="8"/>
      <c r="N251" s="8"/>
      <c r="O251" s="42"/>
      <c r="P251" s="42"/>
      <c r="Q251" s="42"/>
      <c r="R251" s="42"/>
      <c r="S251" s="42"/>
      <c r="T251" s="42"/>
      <c r="U251" s="42"/>
      <c r="V251" s="42"/>
      <c r="W251" s="44"/>
      <c r="X251" s="42"/>
      <c r="Y251" s="42"/>
      <c r="Z251" s="42"/>
      <c r="AA251" s="44"/>
      <c r="AB251" s="44"/>
      <c r="AC251" s="44"/>
      <c r="AD251" s="42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</row>
    <row r="252" spans="1:55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26"/>
      <c r="M252" s="8"/>
      <c r="N252" s="8"/>
      <c r="O252" s="42"/>
      <c r="P252" s="42"/>
      <c r="Q252" s="42"/>
      <c r="R252" s="42"/>
      <c r="S252" s="42"/>
      <c r="T252" s="42"/>
      <c r="U252" s="42"/>
      <c r="V252" s="42"/>
      <c r="W252" s="44"/>
      <c r="X252" s="42"/>
      <c r="Y252" s="42"/>
      <c r="Z252" s="42"/>
      <c r="AA252" s="44"/>
      <c r="AB252" s="44"/>
      <c r="AC252" s="44"/>
      <c r="AD252" s="42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</row>
    <row r="253" spans="1:55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26"/>
      <c r="M253" s="8"/>
      <c r="N253" s="8"/>
      <c r="O253" s="42"/>
      <c r="P253" s="42"/>
      <c r="Q253" s="42"/>
      <c r="R253" s="42"/>
      <c r="S253" s="42"/>
      <c r="T253" s="42"/>
      <c r="U253" s="42"/>
      <c r="V253" s="42"/>
      <c r="W253" s="44"/>
      <c r="X253" s="42"/>
      <c r="Y253" s="42"/>
      <c r="Z253" s="42"/>
      <c r="AA253" s="44"/>
      <c r="AB253" s="44"/>
      <c r="AC253" s="44"/>
      <c r="AD253" s="42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</row>
    <row r="254" spans="1:55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26"/>
      <c r="M254" s="8"/>
      <c r="N254" s="8"/>
      <c r="O254" s="42"/>
      <c r="P254" s="42"/>
      <c r="Q254" s="42"/>
      <c r="R254" s="42"/>
      <c r="S254" s="42"/>
      <c r="T254" s="42"/>
      <c r="U254" s="42"/>
      <c r="V254" s="42"/>
      <c r="W254" s="44"/>
      <c r="X254" s="42"/>
      <c r="Y254" s="42"/>
      <c r="Z254" s="42"/>
      <c r="AA254" s="44"/>
      <c r="AB254" s="44"/>
      <c r="AC254" s="44"/>
      <c r="AD254" s="42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</row>
    <row r="255" spans="1:55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26"/>
      <c r="M255" s="8"/>
      <c r="N255" s="8"/>
      <c r="O255" s="42"/>
      <c r="P255" s="42"/>
      <c r="Q255" s="42"/>
      <c r="R255" s="42"/>
      <c r="S255" s="42"/>
      <c r="T255" s="42"/>
      <c r="U255" s="42"/>
      <c r="V255" s="42"/>
      <c r="W255" s="44"/>
      <c r="X255" s="42"/>
      <c r="Y255" s="42"/>
      <c r="Z255" s="42"/>
      <c r="AA255" s="44"/>
      <c r="AB255" s="44"/>
      <c r="AC255" s="44"/>
      <c r="AD255" s="42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</row>
    <row r="256" spans="1:55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26"/>
      <c r="M256" s="8"/>
      <c r="N256" s="8"/>
      <c r="O256" s="42"/>
      <c r="P256" s="42"/>
      <c r="Q256" s="42"/>
      <c r="R256" s="42"/>
      <c r="S256" s="42"/>
      <c r="T256" s="42"/>
      <c r="U256" s="42"/>
      <c r="V256" s="42"/>
      <c r="W256" s="44"/>
      <c r="X256" s="42"/>
      <c r="Y256" s="42"/>
      <c r="Z256" s="42"/>
      <c r="AA256" s="44"/>
      <c r="AB256" s="44"/>
      <c r="AC256" s="44"/>
      <c r="AD256" s="42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</row>
    <row r="257" spans="1:55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26"/>
      <c r="M257" s="8"/>
      <c r="N257" s="8"/>
      <c r="O257" s="42"/>
      <c r="P257" s="42"/>
      <c r="Q257" s="42"/>
      <c r="R257" s="42"/>
      <c r="S257" s="42"/>
      <c r="T257" s="42"/>
      <c r="U257" s="42"/>
      <c r="V257" s="42"/>
      <c r="W257" s="44"/>
      <c r="X257" s="42"/>
      <c r="Y257" s="42"/>
      <c r="Z257" s="42"/>
      <c r="AA257" s="44"/>
      <c r="AB257" s="44"/>
      <c r="AC257" s="44"/>
      <c r="AD257" s="42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</row>
    <row r="258" spans="1:55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26"/>
      <c r="M258" s="8"/>
      <c r="N258" s="8"/>
      <c r="O258" s="42"/>
      <c r="P258" s="42"/>
      <c r="Q258" s="42"/>
      <c r="R258" s="42"/>
      <c r="S258" s="42"/>
      <c r="T258" s="42"/>
      <c r="U258" s="42"/>
      <c r="V258" s="42"/>
      <c r="W258" s="44"/>
      <c r="X258" s="42"/>
      <c r="Y258" s="42"/>
      <c r="Z258" s="42"/>
      <c r="AA258" s="44"/>
      <c r="AB258" s="44"/>
      <c r="AC258" s="44"/>
      <c r="AD258" s="42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</row>
    <row r="259" spans="1:55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26"/>
      <c r="M259" s="8"/>
      <c r="N259" s="8"/>
      <c r="O259" s="42"/>
      <c r="P259" s="42"/>
      <c r="Q259" s="42"/>
      <c r="R259" s="42"/>
      <c r="S259" s="42"/>
      <c r="T259" s="42"/>
      <c r="U259" s="42"/>
      <c r="V259" s="42"/>
      <c r="W259" s="44"/>
      <c r="X259" s="42"/>
      <c r="Y259" s="42"/>
      <c r="Z259" s="42"/>
      <c r="AA259" s="44"/>
      <c r="AB259" s="44"/>
      <c r="AC259" s="44"/>
      <c r="AD259" s="42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</row>
    <row r="260" spans="1:55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26"/>
      <c r="M260" s="8"/>
      <c r="N260" s="8"/>
      <c r="O260" s="42"/>
      <c r="P260" s="42"/>
      <c r="Q260" s="42"/>
      <c r="R260" s="42"/>
      <c r="S260" s="42"/>
      <c r="T260" s="42"/>
      <c r="U260" s="42"/>
      <c r="V260" s="42"/>
      <c r="W260" s="44"/>
      <c r="X260" s="42"/>
      <c r="Y260" s="42"/>
      <c r="Z260" s="42"/>
      <c r="AA260" s="44"/>
      <c r="AB260" s="44"/>
      <c r="AC260" s="44"/>
      <c r="AD260" s="42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</row>
    <row r="261" spans="1:55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26"/>
      <c r="M261" s="8"/>
      <c r="N261" s="8"/>
      <c r="O261" s="42"/>
      <c r="P261" s="42"/>
      <c r="Q261" s="42"/>
      <c r="R261" s="42"/>
      <c r="S261" s="42"/>
      <c r="T261" s="42"/>
      <c r="U261" s="42"/>
      <c r="V261" s="42"/>
      <c r="W261" s="44"/>
      <c r="X261" s="42"/>
      <c r="Y261" s="42"/>
      <c r="Z261" s="42"/>
      <c r="AA261" s="44"/>
      <c r="AB261" s="44"/>
      <c r="AC261" s="44"/>
      <c r="AD261" s="42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</row>
    <row r="262" spans="1:55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26"/>
      <c r="M262" s="8"/>
      <c r="N262" s="8"/>
      <c r="O262" s="42"/>
      <c r="P262" s="42"/>
      <c r="Q262" s="42"/>
      <c r="R262" s="42"/>
      <c r="S262" s="42"/>
      <c r="T262" s="42"/>
      <c r="U262" s="42"/>
      <c r="V262" s="42"/>
      <c r="W262" s="44"/>
      <c r="X262" s="42"/>
      <c r="Y262" s="42"/>
      <c r="Z262" s="42"/>
      <c r="AA262" s="44"/>
      <c r="AB262" s="44"/>
      <c r="AC262" s="44"/>
      <c r="AD262" s="42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</row>
    <row r="263" spans="1:55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26"/>
      <c r="M263" s="8"/>
      <c r="N263" s="8"/>
      <c r="O263" s="42"/>
      <c r="P263" s="42"/>
      <c r="Q263" s="42"/>
      <c r="R263" s="42"/>
      <c r="S263" s="42"/>
      <c r="T263" s="42"/>
      <c r="U263" s="42"/>
      <c r="V263" s="42"/>
      <c r="W263" s="44"/>
      <c r="X263" s="42"/>
      <c r="Y263" s="42"/>
      <c r="Z263" s="42"/>
      <c r="AA263" s="44"/>
      <c r="AB263" s="44"/>
      <c r="AC263" s="44"/>
      <c r="AD263" s="42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</row>
    <row r="264" spans="1:55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26"/>
      <c r="M264" s="8"/>
      <c r="N264" s="8"/>
      <c r="O264" s="42"/>
      <c r="P264" s="42"/>
      <c r="Q264" s="42"/>
      <c r="R264" s="42"/>
      <c r="S264" s="42"/>
      <c r="T264" s="42"/>
      <c r="U264" s="42"/>
      <c r="V264" s="42"/>
      <c r="W264" s="44"/>
      <c r="X264" s="42"/>
      <c r="Y264" s="42"/>
      <c r="Z264" s="42"/>
      <c r="AA264" s="44"/>
      <c r="AB264" s="44"/>
      <c r="AC264" s="44"/>
      <c r="AD264" s="42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</row>
    <row r="265" spans="1:55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26"/>
      <c r="M265" s="8"/>
      <c r="N265" s="8"/>
      <c r="O265" s="42"/>
      <c r="P265" s="42"/>
      <c r="Q265" s="42"/>
      <c r="R265" s="42"/>
      <c r="S265" s="42"/>
      <c r="T265" s="42"/>
      <c r="U265" s="42"/>
      <c r="V265" s="42"/>
      <c r="W265" s="44"/>
      <c r="X265" s="42"/>
      <c r="Y265" s="42"/>
      <c r="Z265" s="42"/>
      <c r="AA265" s="44"/>
      <c r="AB265" s="44"/>
      <c r="AC265" s="44"/>
      <c r="AD265" s="42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</row>
    <row r="266" spans="1:55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26"/>
      <c r="M266" s="8"/>
      <c r="N266" s="8"/>
      <c r="O266" s="42"/>
      <c r="P266" s="42"/>
      <c r="Q266" s="42"/>
      <c r="R266" s="42"/>
      <c r="S266" s="42"/>
      <c r="T266" s="42"/>
      <c r="U266" s="42"/>
      <c r="V266" s="42"/>
      <c r="W266" s="44"/>
      <c r="X266" s="42"/>
      <c r="Y266" s="42"/>
      <c r="Z266" s="42"/>
      <c r="AA266" s="44"/>
      <c r="AB266" s="44"/>
      <c r="AC266" s="44"/>
      <c r="AD266" s="42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</row>
    <row r="267" spans="1:55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26"/>
      <c r="M267" s="8"/>
      <c r="N267" s="8"/>
      <c r="O267" s="42"/>
      <c r="P267" s="42"/>
      <c r="Q267" s="42"/>
      <c r="R267" s="42"/>
      <c r="S267" s="42"/>
      <c r="T267" s="42"/>
      <c r="U267" s="42"/>
      <c r="V267" s="42"/>
      <c r="W267" s="44"/>
      <c r="X267" s="42"/>
      <c r="Y267" s="42"/>
      <c r="Z267" s="42"/>
      <c r="AA267" s="44"/>
      <c r="AB267" s="44"/>
      <c r="AC267" s="44"/>
      <c r="AD267" s="42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</row>
    <row r="268" spans="1:55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26"/>
      <c r="M268" s="8"/>
      <c r="N268" s="8"/>
      <c r="O268" s="42"/>
      <c r="P268" s="42"/>
      <c r="Q268" s="42"/>
      <c r="R268" s="42"/>
      <c r="S268" s="42"/>
      <c r="T268" s="42"/>
      <c r="U268" s="42"/>
      <c r="V268" s="42"/>
      <c r="W268" s="44"/>
      <c r="X268" s="42"/>
      <c r="Y268" s="42"/>
      <c r="Z268" s="42"/>
      <c r="AA268" s="44"/>
      <c r="AB268" s="44"/>
      <c r="AC268" s="44"/>
      <c r="AD268" s="42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</row>
    <row r="269" spans="1:55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26"/>
      <c r="M269" s="8"/>
      <c r="N269" s="8"/>
      <c r="O269" s="42"/>
      <c r="P269" s="42"/>
      <c r="Q269" s="42"/>
      <c r="R269" s="42"/>
      <c r="S269" s="42"/>
      <c r="T269" s="42"/>
      <c r="U269" s="42"/>
      <c r="V269" s="42"/>
      <c r="W269" s="44"/>
      <c r="X269" s="42"/>
      <c r="Y269" s="42"/>
      <c r="Z269" s="42"/>
      <c r="AA269" s="44"/>
      <c r="AB269" s="44"/>
      <c r="AC269" s="44"/>
      <c r="AD269" s="42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</row>
    <row r="270" spans="1:55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26"/>
      <c r="M270" s="8"/>
      <c r="N270" s="8"/>
      <c r="O270" s="42"/>
      <c r="P270" s="42"/>
      <c r="Q270" s="42"/>
      <c r="R270" s="42"/>
      <c r="S270" s="42"/>
      <c r="T270" s="42"/>
      <c r="U270" s="42"/>
      <c r="V270" s="42"/>
      <c r="W270" s="44"/>
      <c r="X270" s="42"/>
      <c r="Y270" s="42"/>
      <c r="Z270" s="42"/>
      <c r="AA270" s="44"/>
      <c r="AB270" s="44"/>
      <c r="AC270" s="44"/>
      <c r="AD270" s="42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</row>
    <row r="271" spans="1:55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26"/>
      <c r="M271" s="8"/>
      <c r="N271" s="8"/>
      <c r="O271" s="42"/>
      <c r="P271" s="42"/>
      <c r="Q271" s="42"/>
      <c r="R271" s="42"/>
      <c r="S271" s="42"/>
      <c r="T271" s="42"/>
      <c r="U271" s="42"/>
      <c r="V271" s="42"/>
      <c r="W271" s="44"/>
      <c r="X271" s="42"/>
      <c r="Y271" s="42"/>
      <c r="Z271" s="42"/>
      <c r="AA271" s="44"/>
      <c r="AB271" s="44"/>
      <c r="AC271" s="44"/>
      <c r="AD271" s="42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</row>
    <row r="272" spans="1:55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26"/>
      <c r="M272" s="8"/>
      <c r="N272" s="8"/>
      <c r="O272" s="42"/>
      <c r="P272" s="42"/>
      <c r="Q272" s="42"/>
      <c r="R272" s="42"/>
      <c r="S272" s="42"/>
      <c r="T272" s="42"/>
      <c r="U272" s="42"/>
      <c r="V272" s="42"/>
      <c r="W272" s="44"/>
      <c r="X272" s="42"/>
      <c r="Y272" s="42"/>
      <c r="Z272" s="42"/>
      <c r="AA272" s="44"/>
      <c r="AB272" s="44"/>
      <c r="AC272" s="44"/>
      <c r="AD272" s="42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</row>
    <row r="273" spans="1:55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26"/>
      <c r="M273" s="8"/>
      <c r="N273" s="8"/>
      <c r="O273" s="42"/>
      <c r="P273" s="42"/>
      <c r="Q273" s="42"/>
      <c r="R273" s="42"/>
      <c r="S273" s="42"/>
      <c r="T273" s="42"/>
      <c r="U273" s="42"/>
      <c r="V273" s="42"/>
      <c r="W273" s="44"/>
      <c r="X273" s="42"/>
      <c r="Y273" s="42"/>
      <c r="Z273" s="42"/>
      <c r="AA273" s="44"/>
      <c r="AB273" s="44"/>
      <c r="AC273" s="44"/>
      <c r="AD273" s="42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</row>
    <row r="274" spans="1:55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26"/>
      <c r="M274" s="8"/>
      <c r="N274" s="8"/>
      <c r="O274" s="42"/>
      <c r="P274" s="42"/>
      <c r="Q274" s="42"/>
      <c r="R274" s="42"/>
      <c r="S274" s="42"/>
      <c r="T274" s="42"/>
      <c r="U274" s="42"/>
      <c r="V274" s="42"/>
      <c r="W274" s="44"/>
      <c r="X274" s="42"/>
      <c r="Y274" s="42"/>
      <c r="Z274" s="42"/>
      <c r="AA274" s="44"/>
      <c r="AB274" s="44"/>
      <c r="AC274" s="44"/>
      <c r="AD274" s="42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</row>
    <row r="275" spans="1:55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26"/>
      <c r="M275" s="8"/>
      <c r="N275" s="8"/>
      <c r="O275" s="42"/>
      <c r="P275" s="42"/>
      <c r="Q275" s="42"/>
      <c r="R275" s="42"/>
      <c r="S275" s="42"/>
      <c r="T275" s="42"/>
      <c r="U275" s="42"/>
      <c r="V275" s="42"/>
      <c r="W275" s="44"/>
      <c r="X275" s="42"/>
      <c r="Y275" s="42"/>
      <c r="Z275" s="42"/>
      <c r="AA275" s="44"/>
      <c r="AB275" s="44"/>
      <c r="AC275" s="44"/>
      <c r="AD275" s="42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</row>
    <row r="276" spans="1:55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26"/>
      <c r="M276" s="8"/>
      <c r="N276" s="8"/>
      <c r="O276" s="42"/>
      <c r="P276" s="42"/>
      <c r="Q276" s="42"/>
      <c r="R276" s="42"/>
      <c r="S276" s="42"/>
      <c r="T276" s="42"/>
      <c r="U276" s="42"/>
      <c r="V276" s="42"/>
      <c r="W276" s="44"/>
      <c r="X276" s="42"/>
      <c r="Y276" s="42"/>
      <c r="Z276" s="42"/>
      <c r="AA276" s="44"/>
      <c r="AB276" s="44"/>
      <c r="AC276" s="44"/>
      <c r="AD276" s="42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</row>
    <row r="277" spans="1:55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26"/>
      <c r="M277" s="8"/>
      <c r="N277" s="8"/>
      <c r="O277" s="42"/>
      <c r="P277" s="42"/>
      <c r="Q277" s="42"/>
      <c r="R277" s="42"/>
      <c r="S277" s="42"/>
      <c r="T277" s="42"/>
      <c r="U277" s="42"/>
      <c r="V277" s="42"/>
      <c r="W277" s="44"/>
      <c r="X277" s="42"/>
      <c r="Y277" s="42"/>
      <c r="Z277" s="42"/>
      <c r="AA277" s="44"/>
      <c r="AB277" s="44"/>
      <c r="AC277" s="44"/>
      <c r="AD277" s="42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</row>
    <row r="278" spans="1:55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26"/>
      <c r="M278" s="8"/>
      <c r="N278" s="8"/>
      <c r="O278" s="42"/>
      <c r="P278" s="42"/>
      <c r="Q278" s="42"/>
      <c r="R278" s="42"/>
      <c r="S278" s="42"/>
      <c r="T278" s="42"/>
      <c r="U278" s="42"/>
      <c r="V278" s="42"/>
      <c r="W278" s="44"/>
      <c r="X278" s="42"/>
      <c r="Y278" s="42"/>
      <c r="Z278" s="42"/>
      <c r="AA278" s="44"/>
      <c r="AB278" s="44"/>
      <c r="AC278" s="44"/>
      <c r="AD278" s="42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</row>
    <row r="279" spans="1:55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26"/>
      <c r="M279" s="8"/>
      <c r="N279" s="8"/>
      <c r="O279" s="42"/>
      <c r="P279" s="42"/>
      <c r="Q279" s="42"/>
      <c r="R279" s="42"/>
      <c r="S279" s="42"/>
      <c r="T279" s="42"/>
      <c r="U279" s="42"/>
      <c r="V279" s="42"/>
      <c r="W279" s="44"/>
      <c r="X279" s="42"/>
      <c r="Y279" s="42"/>
      <c r="Z279" s="42"/>
      <c r="AA279" s="44"/>
      <c r="AB279" s="44"/>
      <c r="AC279" s="44"/>
      <c r="AD279" s="42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</row>
    <row r="280" spans="1:55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26"/>
      <c r="M280" s="8"/>
      <c r="N280" s="8"/>
      <c r="O280" s="42"/>
      <c r="P280" s="42"/>
      <c r="Q280" s="42"/>
      <c r="R280" s="42"/>
      <c r="S280" s="42"/>
      <c r="T280" s="42"/>
      <c r="U280" s="42"/>
      <c r="V280" s="42"/>
      <c r="W280" s="44"/>
      <c r="X280" s="42"/>
      <c r="Y280" s="42"/>
      <c r="Z280" s="42"/>
      <c r="AA280" s="44"/>
      <c r="AB280" s="44"/>
      <c r="AC280" s="44"/>
      <c r="AD280" s="42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</row>
    <row r="281" spans="1:55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26"/>
      <c r="M281" s="8"/>
      <c r="N281" s="8"/>
      <c r="O281" s="42"/>
      <c r="P281" s="42"/>
      <c r="Q281" s="42"/>
      <c r="R281" s="42"/>
      <c r="S281" s="42"/>
      <c r="T281" s="42"/>
      <c r="U281" s="42"/>
      <c r="V281" s="42"/>
      <c r="W281" s="44"/>
      <c r="X281" s="42"/>
      <c r="Y281" s="42"/>
      <c r="Z281" s="42"/>
      <c r="AA281" s="44"/>
      <c r="AB281" s="44"/>
      <c r="AC281" s="44"/>
      <c r="AD281" s="42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</row>
    <row r="282" spans="1:55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26"/>
      <c r="M282" s="8"/>
      <c r="N282" s="8"/>
      <c r="O282" s="42"/>
      <c r="P282" s="42"/>
      <c r="Q282" s="42"/>
      <c r="R282" s="42"/>
      <c r="S282" s="42"/>
      <c r="T282" s="42"/>
      <c r="U282" s="42"/>
      <c r="V282" s="42"/>
      <c r="W282" s="44"/>
      <c r="X282" s="42"/>
      <c r="Y282" s="42"/>
      <c r="Z282" s="42"/>
      <c r="AA282" s="44"/>
      <c r="AB282" s="44"/>
      <c r="AC282" s="44"/>
      <c r="AD282" s="42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</row>
    <row r="283" spans="1:55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26"/>
      <c r="M283" s="8"/>
      <c r="N283" s="8"/>
      <c r="O283" s="42"/>
      <c r="P283" s="42"/>
      <c r="Q283" s="42"/>
      <c r="R283" s="42"/>
      <c r="S283" s="42"/>
      <c r="T283" s="42"/>
      <c r="U283" s="42"/>
      <c r="V283" s="42"/>
      <c r="W283" s="44"/>
      <c r="X283" s="42"/>
      <c r="Y283" s="42"/>
      <c r="Z283" s="42"/>
      <c r="AA283" s="44"/>
      <c r="AB283" s="44"/>
      <c r="AC283" s="44"/>
      <c r="AD283" s="42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</row>
    <row r="284" spans="1:55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26"/>
      <c r="M284" s="8"/>
      <c r="N284" s="8"/>
      <c r="O284" s="42"/>
      <c r="P284" s="42"/>
      <c r="Q284" s="42"/>
      <c r="R284" s="42"/>
      <c r="S284" s="42"/>
      <c r="T284" s="42"/>
      <c r="U284" s="42"/>
      <c r="V284" s="42"/>
      <c r="W284" s="44"/>
      <c r="X284" s="42"/>
      <c r="Y284" s="42"/>
      <c r="Z284" s="42"/>
      <c r="AA284" s="44"/>
      <c r="AB284" s="44"/>
      <c r="AC284" s="44"/>
      <c r="AD284" s="42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</row>
    <row r="285" spans="1:55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26"/>
      <c r="M285" s="8"/>
      <c r="N285" s="8"/>
      <c r="O285" s="42"/>
      <c r="P285" s="42"/>
      <c r="Q285" s="42"/>
      <c r="R285" s="42"/>
      <c r="S285" s="42"/>
      <c r="T285" s="42"/>
      <c r="U285" s="42"/>
      <c r="V285" s="42"/>
      <c r="W285" s="44"/>
      <c r="X285" s="42"/>
      <c r="Y285" s="42"/>
      <c r="Z285" s="42"/>
      <c r="AA285" s="44"/>
      <c r="AB285" s="44"/>
      <c r="AC285" s="44"/>
      <c r="AD285" s="42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</row>
    <row r="286" spans="1:55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26"/>
      <c r="M286" s="8"/>
      <c r="N286" s="8"/>
      <c r="O286" s="42"/>
      <c r="P286" s="42"/>
      <c r="Q286" s="42"/>
      <c r="R286" s="42"/>
      <c r="S286" s="42"/>
      <c r="T286" s="42"/>
      <c r="U286" s="42"/>
      <c r="V286" s="42"/>
      <c r="W286" s="44"/>
      <c r="X286" s="42"/>
      <c r="Y286" s="42"/>
      <c r="Z286" s="42"/>
      <c r="AA286" s="44"/>
      <c r="AB286" s="44"/>
      <c r="AC286" s="44"/>
      <c r="AD286" s="42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</row>
    <row r="287" spans="1:55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26"/>
      <c r="M287" s="8"/>
      <c r="N287" s="8"/>
      <c r="O287" s="42"/>
      <c r="P287" s="42"/>
      <c r="Q287" s="42"/>
      <c r="R287" s="42"/>
      <c r="S287" s="42"/>
      <c r="T287" s="42"/>
      <c r="U287" s="42"/>
      <c r="V287" s="42"/>
      <c r="W287" s="44"/>
      <c r="X287" s="42"/>
      <c r="Y287" s="42"/>
      <c r="Z287" s="42"/>
      <c r="AA287" s="44"/>
      <c r="AB287" s="44"/>
      <c r="AC287" s="44"/>
      <c r="AD287" s="42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</row>
    <row r="288" spans="1:55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26"/>
      <c r="M288" s="8"/>
      <c r="N288" s="8"/>
      <c r="O288" s="42"/>
      <c r="P288" s="42"/>
      <c r="Q288" s="42"/>
      <c r="R288" s="42"/>
      <c r="S288" s="42"/>
      <c r="T288" s="42"/>
      <c r="U288" s="42"/>
      <c r="V288" s="42"/>
      <c r="W288" s="44"/>
      <c r="X288" s="42"/>
      <c r="Y288" s="42"/>
      <c r="Z288" s="42"/>
      <c r="AA288" s="44"/>
      <c r="AB288" s="44"/>
      <c r="AC288" s="44"/>
      <c r="AD288" s="42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</row>
    <row r="289" spans="1:55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26"/>
      <c r="M289" s="8"/>
      <c r="N289" s="8"/>
      <c r="O289" s="42"/>
      <c r="P289" s="42"/>
      <c r="Q289" s="42"/>
      <c r="R289" s="42"/>
      <c r="S289" s="42"/>
      <c r="T289" s="42"/>
      <c r="U289" s="42"/>
      <c r="V289" s="42"/>
      <c r="W289" s="44"/>
      <c r="X289" s="42"/>
      <c r="Y289" s="42"/>
      <c r="Z289" s="42"/>
      <c r="AA289" s="44"/>
      <c r="AB289" s="44"/>
      <c r="AC289" s="44"/>
      <c r="AD289" s="42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</row>
    <row r="290" spans="1:55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26"/>
      <c r="M290" s="8"/>
      <c r="N290" s="8"/>
      <c r="O290" s="42"/>
      <c r="P290" s="42"/>
      <c r="Q290" s="42"/>
      <c r="R290" s="42"/>
      <c r="S290" s="42"/>
      <c r="T290" s="42"/>
      <c r="U290" s="42"/>
      <c r="V290" s="42"/>
      <c r="W290" s="44"/>
      <c r="X290" s="42"/>
      <c r="Y290" s="42"/>
      <c r="Z290" s="42"/>
      <c r="AA290" s="44"/>
      <c r="AB290" s="44"/>
      <c r="AC290" s="44"/>
      <c r="AD290" s="42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</row>
    <row r="291" spans="1:55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26"/>
      <c r="M291" s="8"/>
      <c r="N291" s="8"/>
      <c r="O291" s="42"/>
      <c r="P291" s="42"/>
      <c r="Q291" s="42"/>
      <c r="R291" s="42"/>
      <c r="S291" s="42"/>
      <c r="T291" s="42"/>
      <c r="U291" s="42"/>
      <c r="V291" s="42"/>
      <c r="W291" s="44"/>
      <c r="X291" s="42"/>
      <c r="Y291" s="42"/>
      <c r="Z291" s="42"/>
      <c r="AA291" s="44"/>
      <c r="AB291" s="44"/>
      <c r="AC291" s="44"/>
      <c r="AD291" s="42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</row>
    <row r="292" spans="1:55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26"/>
      <c r="M292" s="8"/>
      <c r="N292" s="8"/>
      <c r="O292" s="42"/>
      <c r="P292" s="42"/>
      <c r="Q292" s="42"/>
      <c r="R292" s="42"/>
      <c r="S292" s="42"/>
      <c r="T292" s="42"/>
      <c r="U292" s="42"/>
      <c r="V292" s="42"/>
      <c r="W292" s="44"/>
      <c r="X292" s="42"/>
      <c r="Y292" s="42"/>
      <c r="Z292" s="42"/>
      <c r="AA292" s="44"/>
      <c r="AB292" s="44"/>
      <c r="AC292" s="44"/>
      <c r="AD292" s="42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</row>
    <row r="293" spans="1:55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26"/>
      <c r="M293" s="8"/>
      <c r="N293" s="8"/>
      <c r="O293" s="42"/>
      <c r="P293" s="42"/>
      <c r="Q293" s="42"/>
      <c r="R293" s="42"/>
      <c r="S293" s="42"/>
      <c r="T293" s="42"/>
      <c r="U293" s="42"/>
      <c r="V293" s="42"/>
      <c r="W293" s="44"/>
      <c r="X293" s="42"/>
      <c r="Y293" s="42"/>
      <c r="Z293" s="42"/>
      <c r="AA293" s="44"/>
      <c r="AB293" s="44"/>
      <c r="AC293" s="44"/>
      <c r="AD293" s="42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</row>
    <row r="294" spans="1:55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26"/>
      <c r="M294" s="8"/>
      <c r="N294" s="8"/>
      <c r="O294" s="42"/>
      <c r="P294" s="42"/>
      <c r="Q294" s="42"/>
      <c r="R294" s="42"/>
      <c r="S294" s="42"/>
      <c r="T294" s="42"/>
      <c r="U294" s="42"/>
      <c r="V294" s="42"/>
      <c r="W294" s="44"/>
      <c r="X294" s="42"/>
      <c r="Y294" s="42"/>
      <c r="Z294" s="42"/>
      <c r="AA294" s="44"/>
      <c r="AB294" s="44"/>
      <c r="AC294" s="44"/>
      <c r="AD294" s="42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</row>
    <row r="295" spans="1:55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26"/>
      <c r="M295" s="8"/>
      <c r="N295" s="8"/>
      <c r="O295" s="42"/>
      <c r="P295" s="42"/>
      <c r="Q295" s="42"/>
      <c r="R295" s="42"/>
      <c r="S295" s="42"/>
      <c r="T295" s="42"/>
      <c r="U295" s="42"/>
      <c r="V295" s="42"/>
      <c r="W295" s="44"/>
      <c r="X295" s="42"/>
      <c r="Y295" s="42"/>
      <c r="Z295" s="42"/>
      <c r="AA295" s="44"/>
      <c r="AB295" s="44"/>
      <c r="AC295" s="44"/>
      <c r="AD295" s="42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</row>
    <row r="296" spans="1:55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26"/>
      <c r="M296" s="8"/>
      <c r="N296" s="8"/>
      <c r="O296" s="42"/>
      <c r="P296" s="42"/>
      <c r="Q296" s="42"/>
      <c r="R296" s="42"/>
      <c r="S296" s="42"/>
      <c r="T296" s="42"/>
      <c r="U296" s="42"/>
      <c r="V296" s="42"/>
      <c r="W296" s="44"/>
      <c r="X296" s="42"/>
      <c r="Y296" s="42"/>
      <c r="Z296" s="42"/>
      <c r="AA296" s="44"/>
      <c r="AB296" s="44"/>
      <c r="AC296" s="44"/>
      <c r="AD296" s="42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</row>
    <row r="297" spans="1:55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26"/>
      <c r="M297" s="8"/>
      <c r="N297" s="8"/>
      <c r="O297" s="42"/>
      <c r="P297" s="42"/>
      <c r="Q297" s="42"/>
      <c r="R297" s="42"/>
      <c r="S297" s="42"/>
      <c r="T297" s="42"/>
      <c r="U297" s="42"/>
      <c r="V297" s="42"/>
      <c r="W297" s="44"/>
      <c r="X297" s="42"/>
      <c r="Y297" s="42"/>
      <c r="Z297" s="42"/>
      <c r="AA297" s="44"/>
      <c r="AB297" s="44"/>
      <c r="AC297" s="44"/>
      <c r="AD297" s="42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</row>
    <row r="298" spans="1:55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26"/>
      <c r="M298" s="8"/>
      <c r="N298" s="8"/>
      <c r="O298" s="42"/>
      <c r="P298" s="42"/>
      <c r="Q298" s="42"/>
      <c r="R298" s="42"/>
      <c r="S298" s="42"/>
      <c r="T298" s="42"/>
      <c r="U298" s="42"/>
      <c r="V298" s="42"/>
      <c r="W298" s="44"/>
      <c r="X298" s="42"/>
      <c r="Y298" s="42"/>
      <c r="Z298" s="42"/>
      <c r="AA298" s="44"/>
      <c r="AB298" s="44"/>
      <c r="AC298" s="44"/>
      <c r="AD298" s="42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</row>
    <row r="299" spans="1:55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26"/>
      <c r="M299" s="8"/>
      <c r="N299" s="8"/>
      <c r="O299" s="42"/>
      <c r="P299" s="42"/>
      <c r="Q299" s="42"/>
      <c r="R299" s="42"/>
      <c r="S299" s="42"/>
      <c r="T299" s="42"/>
      <c r="U299" s="42"/>
      <c r="V299" s="42"/>
      <c r="W299" s="44"/>
      <c r="X299" s="42"/>
      <c r="Y299" s="42"/>
      <c r="Z299" s="42"/>
      <c r="AA299" s="44"/>
      <c r="AB299" s="44"/>
      <c r="AC299" s="44"/>
      <c r="AD299" s="42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</row>
    <row r="300" spans="1:55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26"/>
      <c r="M300" s="8"/>
      <c r="N300" s="8"/>
      <c r="O300" s="42"/>
      <c r="P300" s="42"/>
      <c r="Q300" s="42"/>
      <c r="R300" s="42"/>
      <c r="S300" s="42"/>
      <c r="T300" s="42"/>
      <c r="U300" s="42"/>
      <c r="V300" s="42"/>
      <c r="W300" s="44"/>
      <c r="X300" s="42"/>
      <c r="Y300" s="42"/>
      <c r="Z300" s="42"/>
      <c r="AA300" s="44"/>
      <c r="AB300" s="44"/>
      <c r="AC300" s="44"/>
      <c r="AD300" s="42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</row>
    <row r="301" spans="1:55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26"/>
      <c r="M301" s="8"/>
      <c r="N301" s="8"/>
      <c r="O301" s="42"/>
      <c r="P301" s="42"/>
      <c r="Q301" s="42"/>
      <c r="R301" s="42"/>
      <c r="S301" s="42"/>
      <c r="T301" s="42"/>
      <c r="U301" s="42"/>
      <c r="V301" s="42"/>
      <c r="W301" s="44"/>
      <c r="X301" s="42"/>
      <c r="Y301" s="42"/>
      <c r="Z301" s="42"/>
      <c r="AA301" s="44"/>
      <c r="AB301" s="44"/>
      <c r="AC301" s="44"/>
      <c r="AD301" s="42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</row>
    <row r="302" spans="1:55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26"/>
      <c r="M302" s="8"/>
      <c r="N302" s="8"/>
      <c r="O302" s="42"/>
      <c r="P302" s="42"/>
      <c r="Q302" s="42"/>
      <c r="R302" s="42"/>
      <c r="S302" s="42"/>
      <c r="T302" s="42"/>
      <c r="U302" s="42"/>
      <c r="V302" s="42"/>
      <c r="W302" s="44"/>
      <c r="X302" s="42"/>
      <c r="Y302" s="42"/>
      <c r="Z302" s="42"/>
      <c r="AA302" s="44"/>
      <c r="AB302" s="44"/>
      <c r="AC302" s="44"/>
      <c r="AD302" s="42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</row>
    <row r="303" spans="1:55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26"/>
      <c r="M303" s="8"/>
      <c r="N303" s="8"/>
      <c r="O303" s="42"/>
      <c r="P303" s="42"/>
      <c r="Q303" s="42"/>
      <c r="R303" s="42"/>
      <c r="S303" s="42"/>
      <c r="T303" s="42"/>
      <c r="U303" s="42"/>
      <c r="V303" s="42"/>
      <c r="W303" s="44"/>
      <c r="X303" s="42"/>
      <c r="Y303" s="42"/>
      <c r="Z303" s="42"/>
      <c r="AA303" s="44"/>
      <c r="AB303" s="44"/>
      <c r="AC303" s="44"/>
      <c r="AD303" s="42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</row>
    <row r="304" spans="1:55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26"/>
      <c r="M304" s="8"/>
      <c r="N304" s="8"/>
      <c r="O304" s="42"/>
      <c r="P304" s="42"/>
      <c r="Q304" s="42"/>
      <c r="R304" s="42"/>
      <c r="S304" s="42"/>
      <c r="T304" s="42"/>
      <c r="U304" s="42"/>
      <c r="V304" s="42"/>
      <c r="W304" s="44"/>
      <c r="X304" s="42"/>
      <c r="Y304" s="42"/>
      <c r="Z304" s="42"/>
      <c r="AA304" s="44"/>
      <c r="AB304" s="44"/>
      <c r="AC304" s="44"/>
      <c r="AD304" s="42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</row>
    <row r="305" spans="1:55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26"/>
      <c r="M305" s="8"/>
      <c r="N305" s="8"/>
      <c r="O305" s="42"/>
      <c r="P305" s="42"/>
      <c r="Q305" s="42"/>
      <c r="R305" s="42"/>
      <c r="S305" s="42"/>
      <c r="T305" s="42"/>
      <c r="U305" s="42"/>
      <c r="V305" s="42"/>
      <c r="W305" s="44"/>
      <c r="X305" s="42"/>
      <c r="Y305" s="42"/>
      <c r="Z305" s="42"/>
      <c r="AA305" s="44"/>
      <c r="AB305" s="44"/>
      <c r="AC305" s="44"/>
      <c r="AD305" s="42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</row>
    <row r="306" spans="1:55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26"/>
      <c r="M306" s="8"/>
      <c r="N306" s="8"/>
      <c r="O306" s="42"/>
      <c r="P306" s="42"/>
      <c r="Q306" s="42"/>
      <c r="R306" s="42"/>
      <c r="S306" s="42"/>
      <c r="T306" s="42"/>
      <c r="U306" s="42"/>
      <c r="V306" s="42"/>
      <c r="W306" s="44"/>
      <c r="X306" s="42"/>
      <c r="Y306" s="42"/>
      <c r="Z306" s="42"/>
      <c r="AA306" s="44"/>
      <c r="AB306" s="44"/>
      <c r="AC306" s="44"/>
      <c r="AD306" s="42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</row>
    <row r="307" spans="1:55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26"/>
      <c r="M307" s="8"/>
      <c r="N307" s="8"/>
      <c r="O307" s="42"/>
      <c r="P307" s="42"/>
      <c r="Q307" s="42"/>
      <c r="R307" s="42"/>
      <c r="S307" s="42"/>
      <c r="T307" s="42"/>
      <c r="U307" s="42"/>
      <c r="V307" s="42"/>
      <c r="W307" s="44"/>
      <c r="X307" s="42"/>
      <c r="Y307" s="42"/>
      <c r="Z307" s="42"/>
      <c r="AA307" s="44"/>
      <c r="AB307" s="44"/>
      <c r="AC307" s="44"/>
      <c r="AD307" s="42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</row>
    <row r="308" spans="1:55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26"/>
      <c r="M308" s="8"/>
      <c r="N308" s="8"/>
      <c r="O308" s="42"/>
      <c r="P308" s="42"/>
      <c r="Q308" s="42"/>
      <c r="R308" s="42"/>
      <c r="S308" s="42"/>
      <c r="T308" s="42"/>
      <c r="U308" s="42"/>
      <c r="V308" s="42"/>
      <c r="W308" s="44"/>
      <c r="X308" s="42"/>
      <c r="Y308" s="42"/>
      <c r="Z308" s="42"/>
      <c r="AA308" s="44"/>
      <c r="AB308" s="44"/>
      <c r="AC308" s="44"/>
      <c r="AD308" s="42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</row>
    <row r="309" spans="1:55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26"/>
      <c r="M309" s="8"/>
      <c r="N309" s="8"/>
      <c r="O309" s="42"/>
      <c r="P309" s="42"/>
      <c r="Q309" s="42"/>
      <c r="R309" s="42"/>
      <c r="S309" s="42"/>
      <c r="T309" s="42"/>
      <c r="U309" s="42"/>
      <c r="V309" s="42"/>
      <c r="W309" s="44"/>
      <c r="X309" s="42"/>
      <c r="Y309" s="42"/>
      <c r="Z309" s="42"/>
      <c r="AA309" s="44"/>
      <c r="AB309" s="44"/>
      <c r="AC309" s="44"/>
      <c r="AD309" s="42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</row>
    <row r="310" spans="1:55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26"/>
      <c r="M310" s="8"/>
      <c r="N310" s="8"/>
      <c r="O310" s="42"/>
      <c r="P310" s="42"/>
      <c r="Q310" s="42"/>
      <c r="R310" s="42"/>
      <c r="S310" s="42"/>
      <c r="T310" s="42"/>
      <c r="U310" s="42"/>
      <c r="V310" s="42"/>
      <c r="W310" s="44"/>
      <c r="X310" s="42"/>
      <c r="Y310" s="42"/>
      <c r="Z310" s="42"/>
      <c r="AA310" s="44"/>
      <c r="AB310" s="44"/>
      <c r="AC310" s="44"/>
      <c r="AD310" s="42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</row>
    <row r="311" spans="1:55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26"/>
      <c r="M311" s="8"/>
      <c r="N311" s="8"/>
      <c r="O311" s="42"/>
      <c r="P311" s="42"/>
      <c r="Q311" s="42"/>
      <c r="R311" s="42"/>
      <c r="S311" s="42"/>
      <c r="T311" s="42"/>
      <c r="U311" s="42"/>
      <c r="V311" s="42"/>
      <c r="W311" s="44"/>
      <c r="X311" s="42"/>
      <c r="Y311" s="42"/>
      <c r="Z311" s="42"/>
      <c r="AA311" s="44"/>
      <c r="AB311" s="44"/>
      <c r="AC311" s="44"/>
      <c r="AD311" s="42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</row>
    <row r="312" spans="1:55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26"/>
      <c r="M312" s="8"/>
      <c r="N312" s="8"/>
      <c r="O312" s="42"/>
      <c r="P312" s="42"/>
      <c r="Q312" s="42"/>
      <c r="R312" s="42"/>
      <c r="S312" s="42"/>
      <c r="T312" s="42"/>
      <c r="U312" s="42"/>
      <c r="V312" s="42"/>
      <c r="W312" s="44"/>
      <c r="X312" s="42"/>
      <c r="Y312" s="42"/>
      <c r="Z312" s="42"/>
      <c r="AA312" s="44"/>
      <c r="AB312" s="44"/>
      <c r="AC312" s="44"/>
      <c r="AD312" s="42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</row>
    <row r="313" spans="1:55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26"/>
      <c r="M313" s="8"/>
      <c r="N313" s="8"/>
      <c r="O313" s="42"/>
      <c r="P313" s="42"/>
      <c r="Q313" s="42"/>
      <c r="R313" s="42"/>
      <c r="S313" s="42"/>
      <c r="T313" s="42"/>
      <c r="U313" s="42"/>
      <c r="V313" s="42"/>
      <c r="W313" s="44"/>
      <c r="X313" s="42"/>
      <c r="Y313" s="42"/>
      <c r="Z313" s="42"/>
      <c r="AA313" s="44"/>
      <c r="AB313" s="44"/>
      <c r="AC313" s="44"/>
      <c r="AD313" s="42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</row>
    <row r="314" spans="1:55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26"/>
      <c r="M314" s="8"/>
      <c r="N314" s="8"/>
      <c r="O314" s="42"/>
      <c r="P314" s="42"/>
      <c r="Q314" s="42"/>
      <c r="R314" s="42"/>
      <c r="S314" s="42"/>
      <c r="T314" s="42"/>
      <c r="U314" s="42"/>
      <c r="V314" s="42"/>
      <c r="W314" s="44"/>
      <c r="X314" s="42"/>
      <c r="Y314" s="42"/>
      <c r="Z314" s="42"/>
      <c r="AA314" s="44"/>
      <c r="AB314" s="44"/>
      <c r="AC314" s="44"/>
      <c r="AD314" s="42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</row>
    <row r="315" spans="1:55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26"/>
      <c r="M315" s="8"/>
      <c r="N315" s="8"/>
      <c r="O315" s="42"/>
      <c r="P315" s="42"/>
      <c r="Q315" s="42"/>
      <c r="R315" s="42"/>
      <c r="S315" s="42"/>
      <c r="T315" s="42"/>
      <c r="U315" s="42"/>
      <c r="V315" s="42"/>
      <c r="W315" s="44"/>
      <c r="X315" s="42"/>
      <c r="Y315" s="42"/>
      <c r="Z315" s="42"/>
      <c r="AA315" s="44"/>
      <c r="AB315" s="44"/>
      <c r="AC315" s="44"/>
      <c r="AD315" s="42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</row>
    <row r="316" spans="1:55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26"/>
      <c r="M316" s="8"/>
      <c r="N316" s="8"/>
      <c r="O316" s="42"/>
      <c r="P316" s="42"/>
      <c r="Q316" s="42"/>
      <c r="R316" s="42"/>
      <c r="S316" s="42"/>
      <c r="T316" s="42"/>
      <c r="U316" s="42"/>
      <c r="V316" s="42"/>
      <c r="W316" s="44"/>
      <c r="X316" s="42"/>
      <c r="Y316" s="42"/>
      <c r="Z316" s="42"/>
      <c r="AA316" s="44"/>
      <c r="AB316" s="44"/>
      <c r="AC316" s="44"/>
      <c r="AD316" s="42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</row>
    <row r="317" spans="1:55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26"/>
      <c r="M317" s="8"/>
      <c r="N317" s="8"/>
      <c r="O317" s="42"/>
      <c r="P317" s="42"/>
      <c r="Q317" s="42"/>
      <c r="R317" s="42"/>
      <c r="S317" s="42"/>
      <c r="T317" s="42"/>
      <c r="U317" s="42"/>
      <c r="V317" s="42"/>
      <c r="W317" s="44"/>
      <c r="X317" s="42"/>
      <c r="Y317" s="42"/>
      <c r="Z317" s="42"/>
      <c r="AA317" s="44"/>
      <c r="AB317" s="44"/>
      <c r="AC317" s="44"/>
      <c r="AD317" s="42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</row>
    <row r="318" spans="1:55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26"/>
      <c r="M318" s="8"/>
      <c r="N318" s="8"/>
      <c r="O318" s="42"/>
      <c r="P318" s="42"/>
      <c r="Q318" s="42"/>
      <c r="R318" s="42"/>
      <c r="S318" s="42"/>
      <c r="T318" s="42"/>
      <c r="U318" s="42"/>
      <c r="V318" s="42"/>
      <c r="W318" s="44"/>
      <c r="X318" s="42"/>
      <c r="Y318" s="42"/>
      <c r="Z318" s="42"/>
      <c r="AA318" s="44"/>
      <c r="AB318" s="44"/>
      <c r="AC318" s="44"/>
      <c r="AD318" s="42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</row>
    <row r="319" spans="1:55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26"/>
      <c r="M319" s="8"/>
      <c r="N319" s="8"/>
      <c r="O319" s="42"/>
      <c r="P319" s="42"/>
      <c r="Q319" s="42"/>
      <c r="R319" s="42"/>
      <c r="S319" s="42"/>
      <c r="T319" s="42"/>
      <c r="U319" s="42"/>
      <c r="V319" s="42"/>
      <c r="W319" s="44"/>
      <c r="X319" s="42"/>
      <c r="Y319" s="42"/>
      <c r="Z319" s="42"/>
      <c r="AA319" s="44"/>
      <c r="AB319" s="44"/>
      <c r="AC319" s="44"/>
      <c r="AD319" s="42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</row>
    <row r="320" spans="1:55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26"/>
      <c r="M320" s="8"/>
      <c r="N320" s="8"/>
      <c r="O320" s="42"/>
      <c r="P320" s="42"/>
      <c r="Q320" s="42"/>
      <c r="R320" s="42"/>
      <c r="S320" s="42"/>
      <c r="T320" s="42"/>
      <c r="U320" s="42"/>
      <c r="V320" s="42"/>
      <c r="W320" s="44"/>
      <c r="X320" s="42"/>
      <c r="Y320" s="42"/>
      <c r="Z320" s="42"/>
      <c r="AA320" s="44"/>
      <c r="AB320" s="44"/>
      <c r="AC320" s="44"/>
      <c r="AD320" s="42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</row>
    <row r="321" spans="1:55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26"/>
      <c r="M321" s="8"/>
      <c r="N321" s="8"/>
      <c r="O321" s="42"/>
      <c r="P321" s="42"/>
      <c r="Q321" s="42"/>
      <c r="R321" s="42"/>
      <c r="S321" s="42"/>
      <c r="T321" s="42"/>
      <c r="U321" s="42"/>
      <c r="V321" s="42"/>
      <c r="W321" s="44"/>
      <c r="X321" s="42"/>
      <c r="Y321" s="42"/>
      <c r="Z321" s="42"/>
      <c r="AA321" s="44"/>
      <c r="AB321" s="44"/>
      <c r="AC321" s="44"/>
      <c r="AD321" s="42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</row>
    <row r="322" spans="1:55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26"/>
      <c r="M322" s="8"/>
      <c r="N322" s="8"/>
      <c r="O322" s="42"/>
      <c r="P322" s="42"/>
      <c r="Q322" s="42"/>
      <c r="R322" s="42"/>
      <c r="S322" s="42"/>
      <c r="T322" s="42"/>
      <c r="U322" s="42"/>
      <c r="V322" s="42"/>
      <c r="W322" s="44"/>
      <c r="X322" s="42"/>
      <c r="Y322" s="42"/>
      <c r="Z322" s="42"/>
      <c r="AA322" s="44"/>
      <c r="AB322" s="44"/>
      <c r="AC322" s="44"/>
      <c r="AD322" s="42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</row>
    <row r="323" spans="1:55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26"/>
      <c r="M323" s="8"/>
      <c r="N323" s="8"/>
      <c r="O323" s="42"/>
      <c r="P323" s="42"/>
      <c r="Q323" s="42"/>
      <c r="R323" s="42"/>
      <c r="S323" s="42"/>
      <c r="T323" s="42"/>
      <c r="U323" s="42"/>
      <c r="V323" s="42"/>
      <c r="W323" s="44"/>
      <c r="X323" s="42"/>
      <c r="Y323" s="42"/>
      <c r="Z323" s="42"/>
      <c r="AA323" s="44"/>
      <c r="AB323" s="44"/>
      <c r="AC323" s="44"/>
      <c r="AD323" s="42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</row>
    <row r="324" spans="1:55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26"/>
      <c r="M324" s="8"/>
      <c r="N324" s="8"/>
      <c r="O324" s="42"/>
      <c r="P324" s="42"/>
      <c r="Q324" s="42"/>
      <c r="R324" s="42"/>
      <c r="S324" s="42"/>
      <c r="T324" s="42"/>
      <c r="U324" s="42"/>
      <c r="V324" s="42"/>
      <c r="W324" s="44"/>
      <c r="X324" s="42"/>
      <c r="Y324" s="42"/>
      <c r="Z324" s="42"/>
      <c r="AA324" s="44"/>
      <c r="AB324" s="44"/>
      <c r="AC324" s="44"/>
      <c r="AD324" s="42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</row>
    <row r="325" spans="1:55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26"/>
      <c r="M325" s="8"/>
      <c r="N325" s="8"/>
      <c r="O325" s="42"/>
      <c r="P325" s="42"/>
      <c r="Q325" s="42"/>
      <c r="R325" s="42"/>
      <c r="S325" s="42"/>
      <c r="T325" s="42"/>
      <c r="U325" s="42"/>
      <c r="V325" s="42"/>
      <c r="W325" s="44"/>
      <c r="X325" s="42"/>
      <c r="Y325" s="42"/>
      <c r="Z325" s="42"/>
      <c r="AA325" s="44"/>
      <c r="AB325" s="44"/>
      <c r="AC325" s="44"/>
      <c r="AD325" s="42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</row>
    <row r="326" spans="1:55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26"/>
      <c r="M326" s="8"/>
      <c r="N326" s="8"/>
      <c r="O326" s="42"/>
      <c r="P326" s="42"/>
      <c r="Q326" s="42"/>
      <c r="R326" s="42"/>
      <c r="S326" s="42"/>
      <c r="T326" s="42"/>
      <c r="U326" s="42"/>
      <c r="V326" s="42"/>
      <c r="W326" s="44"/>
      <c r="X326" s="42"/>
      <c r="Y326" s="42"/>
      <c r="Z326" s="42"/>
      <c r="AA326" s="44"/>
      <c r="AB326" s="44"/>
      <c r="AC326" s="44"/>
      <c r="AD326" s="42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</row>
    <row r="327" spans="1:55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26"/>
      <c r="M327" s="8"/>
      <c r="N327" s="8"/>
      <c r="O327" s="42"/>
      <c r="P327" s="42"/>
      <c r="Q327" s="42"/>
      <c r="R327" s="42"/>
      <c r="S327" s="42"/>
      <c r="T327" s="42"/>
      <c r="U327" s="42"/>
      <c r="V327" s="42"/>
      <c r="W327" s="44"/>
      <c r="X327" s="42"/>
      <c r="Y327" s="42"/>
      <c r="Z327" s="42"/>
      <c r="AA327" s="44"/>
      <c r="AB327" s="44"/>
      <c r="AC327" s="44"/>
      <c r="AD327" s="42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</row>
    <row r="328" spans="1:55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26"/>
      <c r="M328" s="8"/>
      <c r="N328" s="8"/>
      <c r="O328" s="42"/>
      <c r="P328" s="42"/>
      <c r="Q328" s="42"/>
      <c r="R328" s="42"/>
      <c r="S328" s="42"/>
      <c r="T328" s="42"/>
      <c r="U328" s="42"/>
      <c r="V328" s="42"/>
      <c r="W328" s="44"/>
      <c r="X328" s="42"/>
      <c r="Y328" s="42"/>
      <c r="Z328" s="42"/>
      <c r="AA328" s="44"/>
      <c r="AB328" s="44"/>
      <c r="AC328" s="44"/>
      <c r="AD328" s="42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</row>
    <row r="329" spans="1:55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26"/>
      <c r="M329" s="8"/>
      <c r="N329" s="8"/>
      <c r="O329" s="42"/>
      <c r="P329" s="42"/>
      <c r="Q329" s="42"/>
      <c r="R329" s="42"/>
      <c r="S329" s="42"/>
      <c r="T329" s="42"/>
      <c r="U329" s="42"/>
      <c r="V329" s="42"/>
      <c r="W329" s="44"/>
      <c r="X329" s="42"/>
      <c r="Y329" s="42"/>
      <c r="Z329" s="42"/>
      <c r="AA329" s="44"/>
      <c r="AB329" s="44"/>
      <c r="AC329" s="44"/>
      <c r="AD329" s="42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</row>
    <row r="330" spans="1:55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26"/>
      <c r="M330" s="8"/>
      <c r="N330" s="8"/>
      <c r="O330" s="42"/>
      <c r="P330" s="42"/>
      <c r="Q330" s="42"/>
      <c r="R330" s="42"/>
      <c r="S330" s="42"/>
      <c r="T330" s="42"/>
      <c r="U330" s="42"/>
      <c r="V330" s="42"/>
      <c r="W330" s="44"/>
      <c r="X330" s="42"/>
      <c r="Y330" s="42"/>
      <c r="Z330" s="42"/>
      <c r="AA330" s="44"/>
      <c r="AB330" s="44"/>
      <c r="AC330" s="44"/>
      <c r="AD330" s="42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</row>
    <row r="331" spans="1:55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26"/>
      <c r="M331" s="8"/>
      <c r="N331" s="8"/>
      <c r="O331" s="42"/>
      <c r="P331" s="42"/>
      <c r="Q331" s="42"/>
      <c r="R331" s="42"/>
      <c r="S331" s="42"/>
      <c r="T331" s="42"/>
      <c r="U331" s="42"/>
      <c r="V331" s="42"/>
      <c r="W331" s="44"/>
      <c r="X331" s="42"/>
      <c r="Y331" s="42"/>
      <c r="Z331" s="42"/>
      <c r="AA331" s="44"/>
      <c r="AB331" s="44"/>
      <c r="AC331" s="44"/>
      <c r="AD331" s="42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</row>
    <row r="332" spans="1:55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26"/>
      <c r="M332" s="8"/>
      <c r="N332" s="8"/>
      <c r="O332" s="42"/>
      <c r="P332" s="42"/>
      <c r="Q332" s="42"/>
      <c r="R332" s="42"/>
      <c r="S332" s="42"/>
      <c r="T332" s="42"/>
      <c r="U332" s="42"/>
      <c r="V332" s="42"/>
      <c r="W332" s="44"/>
      <c r="X332" s="42"/>
      <c r="Y332" s="42"/>
      <c r="Z332" s="42"/>
      <c r="AA332" s="44"/>
      <c r="AB332" s="44"/>
      <c r="AC332" s="44"/>
      <c r="AD332" s="42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</row>
    <row r="333" spans="1:55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26"/>
      <c r="M333" s="8"/>
      <c r="N333" s="8"/>
      <c r="O333" s="42"/>
      <c r="P333" s="42"/>
      <c r="Q333" s="42"/>
      <c r="R333" s="42"/>
      <c r="S333" s="42"/>
      <c r="T333" s="42"/>
      <c r="U333" s="42"/>
      <c r="V333" s="42"/>
      <c r="W333" s="44"/>
      <c r="X333" s="42"/>
      <c r="Y333" s="42"/>
      <c r="Z333" s="42"/>
      <c r="AA333" s="44"/>
      <c r="AB333" s="44"/>
      <c r="AC333" s="44"/>
      <c r="AD333" s="42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</row>
    <row r="334" spans="1:55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26"/>
      <c r="M334" s="8"/>
      <c r="N334" s="8"/>
      <c r="O334" s="42"/>
      <c r="P334" s="42"/>
      <c r="Q334" s="42"/>
      <c r="R334" s="42"/>
      <c r="S334" s="42"/>
      <c r="T334" s="42"/>
      <c r="U334" s="42"/>
      <c r="V334" s="42"/>
      <c r="W334" s="44"/>
      <c r="X334" s="42"/>
      <c r="Y334" s="42"/>
      <c r="Z334" s="42"/>
      <c r="AA334" s="44"/>
      <c r="AB334" s="44"/>
      <c r="AC334" s="44"/>
      <c r="AD334" s="42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</row>
    <row r="335" spans="1:55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26"/>
      <c r="M335" s="8"/>
      <c r="N335" s="8"/>
      <c r="O335" s="42"/>
      <c r="P335" s="42"/>
      <c r="Q335" s="42"/>
      <c r="R335" s="42"/>
      <c r="S335" s="42"/>
      <c r="T335" s="42"/>
      <c r="U335" s="42"/>
      <c r="V335" s="42"/>
      <c r="W335" s="44"/>
      <c r="X335" s="42"/>
      <c r="Y335" s="42"/>
      <c r="Z335" s="42"/>
      <c r="AA335" s="44"/>
      <c r="AB335" s="44"/>
      <c r="AC335" s="44"/>
      <c r="AD335" s="42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</row>
    <row r="336" spans="1:55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26"/>
      <c r="M336" s="8"/>
      <c r="N336" s="8"/>
      <c r="O336" s="42"/>
      <c r="P336" s="42"/>
      <c r="Q336" s="42"/>
      <c r="R336" s="42"/>
      <c r="S336" s="42"/>
      <c r="T336" s="42"/>
      <c r="U336" s="42"/>
      <c r="V336" s="42"/>
      <c r="W336" s="44"/>
      <c r="X336" s="42"/>
      <c r="Y336" s="42"/>
      <c r="Z336" s="42"/>
      <c r="AA336" s="44"/>
      <c r="AB336" s="44"/>
      <c r="AC336" s="44"/>
      <c r="AD336" s="42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</row>
    <row r="337" spans="1:55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26"/>
      <c r="M337" s="8"/>
      <c r="N337" s="8"/>
      <c r="O337" s="42"/>
      <c r="P337" s="42"/>
      <c r="Q337" s="42"/>
      <c r="R337" s="42"/>
      <c r="S337" s="42"/>
      <c r="T337" s="42"/>
      <c r="U337" s="42"/>
      <c r="V337" s="42"/>
      <c r="W337" s="44"/>
      <c r="X337" s="42"/>
      <c r="Y337" s="42"/>
      <c r="Z337" s="42"/>
      <c r="AA337" s="44"/>
      <c r="AB337" s="44"/>
      <c r="AC337" s="44"/>
      <c r="AD337" s="42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</row>
    <row r="338" spans="1:55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26"/>
      <c r="M338" s="8"/>
      <c r="N338" s="8"/>
      <c r="O338" s="42"/>
      <c r="P338" s="42"/>
      <c r="Q338" s="42"/>
      <c r="R338" s="42"/>
      <c r="S338" s="42"/>
      <c r="T338" s="42"/>
      <c r="U338" s="42"/>
      <c r="V338" s="42"/>
      <c r="W338" s="44"/>
      <c r="X338" s="42"/>
      <c r="Y338" s="42"/>
      <c r="Z338" s="42"/>
      <c r="AA338" s="44"/>
      <c r="AB338" s="44"/>
      <c r="AC338" s="44"/>
      <c r="AD338" s="42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</row>
    <row r="339" spans="1:55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26"/>
      <c r="M339" s="8"/>
      <c r="N339" s="8"/>
      <c r="O339" s="42"/>
      <c r="P339" s="42"/>
      <c r="Q339" s="42"/>
      <c r="R339" s="42"/>
      <c r="S339" s="42"/>
      <c r="T339" s="42"/>
      <c r="U339" s="42"/>
      <c r="V339" s="42"/>
      <c r="W339" s="44"/>
      <c r="X339" s="42"/>
      <c r="Y339" s="42"/>
      <c r="Z339" s="42"/>
      <c r="AA339" s="44"/>
      <c r="AB339" s="44"/>
      <c r="AC339" s="44"/>
      <c r="AD339" s="42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</row>
    <row r="340" spans="1:55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26"/>
      <c r="M340" s="8"/>
      <c r="N340" s="8"/>
      <c r="O340" s="42"/>
      <c r="P340" s="42"/>
      <c r="Q340" s="42"/>
      <c r="R340" s="42"/>
      <c r="S340" s="42"/>
      <c r="T340" s="42"/>
      <c r="U340" s="42"/>
      <c r="V340" s="42"/>
      <c r="W340" s="44"/>
      <c r="X340" s="42"/>
      <c r="Y340" s="42"/>
      <c r="Z340" s="42"/>
      <c r="AA340" s="44"/>
      <c r="AB340" s="44"/>
      <c r="AC340" s="44"/>
      <c r="AD340" s="42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</row>
    <row r="341" spans="1:55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26"/>
      <c r="M341" s="8"/>
      <c r="N341" s="8"/>
      <c r="O341" s="42"/>
      <c r="P341" s="42"/>
      <c r="Q341" s="42"/>
      <c r="R341" s="42"/>
      <c r="S341" s="42"/>
      <c r="T341" s="42"/>
      <c r="U341" s="42"/>
      <c r="V341" s="42"/>
      <c r="W341" s="44"/>
      <c r="X341" s="42"/>
      <c r="Y341" s="42"/>
      <c r="Z341" s="42"/>
      <c r="AA341" s="44"/>
      <c r="AB341" s="44"/>
      <c r="AC341" s="44"/>
      <c r="AD341" s="42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</row>
    <row r="342" spans="1:55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26"/>
      <c r="M342" s="8"/>
      <c r="N342" s="8"/>
      <c r="O342" s="42"/>
      <c r="P342" s="42"/>
      <c r="Q342" s="42"/>
      <c r="R342" s="42"/>
      <c r="S342" s="42"/>
      <c r="T342" s="42"/>
      <c r="U342" s="42"/>
      <c r="V342" s="42"/>
      <c r="W342" s="44"/>
      <c r="X342" s="42"/>
      <c r="Y342" s="42"/>
      <c r="Z342" s="42"/>
      <c r="AA342" s="44"/>
      <c r="AB342" s="44"/>
      <c r="AC342" s="44"/>
      <c r="AD342" s="42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</row>
    <row r="343" spans="1:55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26"/>
      <c r="M343" s="8"/>
      <c r="N343" s="8"/>
      <c r="O343" s="42"/>
      <c r="P343" s="42"/>
      <c r="Q343" s="42"/>
      <c r="R343" s="42"/>
      <c r="S343" s="42"/>
      <c r="T343" s="42"/>
      <c r="U343" s="42"/>
      <c r="V343" s="42"/>
      <c r="W343" s="44"/>
      <c r="X343" s="42"/>
      <c r="Y343" s="42"/>
      <c r="Z343" s="42"/>
      <c r="AA343" s="44"/>
      <c r="AB343" s="44"/>
      <c r="AC343" s="44"/>
      <c r="AD343" s="42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</row>
    <row r="344" spans="1:55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26"/>
      <c r="M344" s="8"/>
      <c r="N344" s="8"/>
      <c r="O344" s="42"/>
      <c r="P344" s="42"/>
      <c r="Q344" s="42"/>
      <c r="R344" s="42"/>
      <c r="S344" s="42"/>
      <c r="T344" s="42"/>
      <c r="U344" s="42"/>
      <c r="V344" s="42"/>
      <c r="W344" s="44"/>
      <c r="X344" s="42"/>
      <c r="Y344" s="42"/>
      <c r="Z344" s="42"/>
      <c r="AA344" s="44"/>
      <c r="AB344" s="44"/>
      <c r="AC344" s="44"/>
      <c r="AD344" s="42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</row>
    <row r="345" spans="1:55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26"/>
      <c r="M345" s="8"/>
      <c r="N345" s="8"/>
      <c r="O345" s="42"/>
      <c r="P345" s="42"/>
      <c r="Q345" s="42"/>
      <c r="R345" s="42"/>
      <c r="S345" s="42"/>
      <c r="T345" s="42"/>
      <c r="U345" s="42"/>
      <c r="V345" s="42"/>
      <c r="W345" s="44"/>
      <c r="X345" s="42"/>
      <c r="Y345" s="42"/>
      <c r="Z345" s="42"/>
      <c r="AA345" s="44"/>
      <c r="AB345" s="44"/>
      <c r="AC345" s="44"/>
      <c r="AD345" s="42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</row>
    <row r="346" spans="1:55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26"/>
      <c r="M346" s="8"/>
      <c r="N346" s="8"/>
      <c r="O346" s="42"/>
      <c r="P346" s="42"/>
      <c r="Q346" s="42"/>
      <c r="R346" s="42"/>
      <c r="S346" s="42"/>
      <c r="T346" s="42"/>
      <c r="U346" s="42"/>
      <c r="V346" s="42"/>
      <c r="W346" s="44"/>
      <c r="X346" s="42"/>
      <c r="Y346" s="42"/>
      <c r="Z346" s="42"/>
      <c r="AA346" s="44"/>
      <c r="AB346" s="44"/>
      <c r="AC346" s="44"/>
      <c r="AD346" s="42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</row>
    <row r="347" spans="1:55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26"/>
      <c r="M347" s="8"/>
      <c r="N347" s="8"/>
      <c r="O347" s="42"/>
      <c r="P347" s="42"/>
      <c r="Q347" s="42"/>
      <c r="R347" s="42"/>
      <c r="S347" s="42"/>
      <c r="T347" s="42"/>
      <c r="U347" s="42"/>
      <c r="V347" s="42"/>
      <c r="W347" s="44"/>
      <c r="X347" s="42"/>
      <c r="Y347" s="42"/>
      <c r="Z347" s="42"/>
      <c r="AA347" s="44"/>
      <c r="AB347" s="44"/>
      <c r="AC347" s="44"/>
      <c r="AD347" s="42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</row>
    <row r="348" spans="1:55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26"/>
      <c r="M348" s="8"/>
      <c r="N348" s="8"/>
      <c r="O348" s="42"/>
      <c r="P348" s="42"/>
      <c r="Q348" s="42"/>
      <c r="R348" s="42"/>
      <c r="S348" s="42"/>
      <c r="T348" s="42"/>
      <c r="U348" s="42"/>
      <c r="V348" s="42"/>
      <c r="W348" s="44"/>
      <c r="X348" s="42"/>
      <c r="Y348" s="42"/>
      <c r="Z348" s="42"/>
      <c r="AA348" s="44"/>
      <c r="AB348" s="44"/>
      <c r="AC348" s="44"/>
      <c r="AD348" s="42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</row>
    <row r="349" spans="1:55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26"/>
      <c r="M349" s="8"/>
      <c r="N349" s="8"/>
      <c r="O349" s="42"/>
      <c r="P349" s="42"/>
      <c r="Q349" s="42"/>
      <c r="R349" s="42"/>
      <c r="S349" s="42"/>
      <c r="T349" s="42"/>
      <c r="U349" s="42"/>
      <c r="V349" s="42"/>
      <c r="W349" s="44"/>
      <c r="X349" s="42"/>
      <c r="Y349" s="42"/>
      <c r="Z349" s="42"/>
      <c r="AA349" s="44"/>
      <c r="AB349" s="44"/>
      <c r="AC349" s="44"/>
      <c r="AD349" s="42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</row>
    <row r="350" spans="1:55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26"/>
      <c r="M350" s="8"/>
      <c r="N350" s="8"/>
      <c r="O350" s="42"/>
      <c r="P350" s="42"/>
      <c r="Q350" s="42"/>
      <c r="R350" s="42"/>
      <c r="S350" s="42"/>
      <c r="T350" s="42"/>
      <c r="U350" s="42"/>
      <c r="V350" s="42"/>
      <c r="W350" s="44"/>
      <c r="X350" s="42"/>
      <c r="Y350" s="42"/>
      <c r="Z350" s="42"/>
      <c r="AA350" s="44"/>
      <c r="AB350" s="44"/>
      <c r="AC350" s="44"/>
      <c r="AD350" s="42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</row>
    <row r="351" spans="1:55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26"/>
      <c r="M351" s="8"/>
      <c r="N351" s="8"/>
      <c r="O351" s="42"/>
      <c r="P351" s="42"/>
      <c r="Q351" s="42"/>
      <c r="R351" s="42"/>
      <c r="S351" s="42"/>
      <c r="T351" s="42"/>
      <c r="U351" s="42"/>
      <c r="V351" s="42"/>
      <c r="W351" s="44"/>
      <c r="X351" s="42"/>
      <c r="Y351" s="42"/>
      <c r="Z351" s="42"/>
      <c r="AA351" s="44"/>
      <c r="AB351" s="44"/>
      <c r="AC351" s="44"/>
      <c r="AD351" s="42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</row>
    <row r="352" spans="1:55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26"/>
      <c r="M352" s="8"/>
      <c r="N352" s="8"/>
      <c r="O352" s="42"/>
      <c r="P352" s="42"/>
      <c r="Q352" s="42"/>
      <c r="R352" s="42"/>
      <c r="S352" s="42"/>
      <c r="T352" s="42"/>
      <c r="U352" s="42"/>
      <c r="V352" s="42"/>
      <c r="W352" s="44"/>
      <c r="X352" s="42"/>
      <c r="Y352" s="42"/>
      <c r="Z352" s="42"/>
      <c r="AA352" s="44"/>
      <c r="AB352" s="44"/>
      <c r="AC352" s="44"/>
      <c r="AD352" s="42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</row>
    <row r="353" spans="1:55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26"/>
      <c r="M353" s="8"/>
      <c r="N353" s="8"/>
      <c r="O353" s="42"/>
      <c r="P353" s="42"/>
      <c r="Q353" s="42"/>
      <c r="R353" s="42"/>
      <c r="S353" s="42"/>
      <c r="T353" s="42"/>
      <c r="U353" s="42"/>
      <c r="V353" s="42"/>
      <c r="W353" s="44"/>
      <c r="X353" s="42"/>
      <c r="Y353" s="42"/>
      <c r="Z353" s="42"/>
      <c r="AA353" s="44"/>
      <c r="AB353" s="44"/>
      <c r="AC353" s="44"/>
      <c r="AD353" s="42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</row>
    <row r="354" spans="1:55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26"/>
      <c r="M354" s="8"/>
      <c r="N354" s="8"/>
      <c r="O354" s="42"/>
      <c r="P354" s="42"/>
      <c r="Q354" s="42"/>
      <c r="R354" s="42"/>
      <c r="S354" s="42"/>
      <c r="T354" s="42"/>
      <c r="U354" s="42"/>
      <c r="V354" s="42"/>
      <c r="W354" s="44"/>
      <c r="X354" s="42"/>
      <c r="Y354" s="42"/>
      <c r="Z354" s="42"/>
      <c r="AA354" s="44"/>
      <c r="AB354" s="44"/>
      <c r="AC354" s="44"/>
      <c r="AD354" s="42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</row>
    <row r="355" spans="1:55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26"/>
      <c r="M355" s="8"/>
      <c r="N355" s="8"/>
      <c r="O355" s="42"/>
      <c r="P355" s="42"/>
      <c r="Q355" s="42"/>
      <c r="R355" s="42"/>
      <c r="S355" s="42"/>
      <c r="T355" s="42"/>
      <c r="U355" s="42"/>
      <c r="V355" s="42"/>
      <c r="W355" s="44"/>
      <c r="X355" s="42"/>
      <c r="Y355" s="42"/>
      <c r="Z355" s="42"/>
      <c r="AA355" s="44"/>
      <c r="AB355" s="44"/>
      <c r="AC355" s="44"/>
      <c r="AD355" s="42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</row>
    <row r="356" spans="1:55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26"/>
      <c r="M356" s="8"/>
      <c r="N356" s="8"/>
      <c r="O356" s="42"/>
      <c r="P356" s="42"/>
      <c r="Q356" s="42"/>
      <c r="R356" s="42"/>
      <c r="S356" s="42"/>
      <c r="T356" s="42"/>
      <c r="U356" s="42"/>
      <c r="V356" s="42"/>
      <c r="W356" s="44"/>
      <c r="X356" s="42"/>
      <c r="Y356" s="42"/>
      <c r="Z356" s="42"/>
      <c r="AA356" s="44"/>
      <c r="AB356" s="44"/>
      <c r="AC356" s="44"/>
      <c r="AD356" s="42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</row>
    <row r="357" spans="1:55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26"/>
      <c r="M357" s="8"/>
      <c r="N357" s="8"/>
      <c r="O357" s="42"/>
      <c r="P357" s="42"/>
      <c r="Q357" s="42"/>
      <c r="R357" s="42"/>
      <c r="S357" s="42"/>
      <c r="T357" s="42"/>
      <c r="U357" s="42"/>
      <c r="V357" s="42"/>
      <c r="W357" s="44"/>
      <c r="X357" s="42"/>
      <c r="Y357" s="42"/>
      <c r="Z357" s="42"/>
      <c r="AA357" s="44"/>
      <c r="AB357" s="44"/>
      <c r="AC357" s="44"/>
      <c r="AD357" s="42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</row>
    <row r="358" spans="1:55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26"/>
      <c r="M358" s="8"/>
      <c r="N358" s="8"/>
      <c r="O358" s="42"/>
      <c r="P358" s="42"/>
      <c r="Q358" s="42"/>
      <c r="R358" s="42"/>
      <c r="S358" s="42"/>
      <c r="T358" s="42"/>
      <c r="U358" s="42"/>
      <c r="V358" s="42"/>
      <c r="W358" s="44"/>
      <c r="X358" s="42"/>
      <c r="Y358" s="42"/>
      <c r="Z358" s="42"/>
      <c r="AA358" s="44"/>
      <c r="AB358" s="44"/>
      <c r="AC358" s="44"/>
      <c r="AD358" s="42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</row>
    <row r="359" spans="1:55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26"/>
      <c r="M359" s="8"/>
      <c r="N359" s="8"/>
      <c r="O359" s="42"/>
      <c r="P359" s="42"/>
      <c r="Q359" s="42"/>
      <c r="R359" s="42"/>
      <c r="S359" s="42"/>
      <c r="T359" s="42"/>
      <c r="U359" s="42"/>
      <c r="V359" s="42"/>
      <c r="W359" s="44"/>
      <c r="X359" s="42"/>
      <c r="Y359" s="42"/>
      <c r="Z359" s="42"/>
      <c r="AA359" s="44"/>
      <c r="AB359" s="44"/>
      <c r="AC359" s="44"/>
      <c r="AD359" s="42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</row>
    <row r="360" spans="1:55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26"/>
      <c r="M360" s="8"/>
      <c r="N360" s="8"/>
      <c r="O360" s="42"/>
      <c r="P360" s="42"/>
      <c r="Q360" s="42"/>
      <c r="R360" s="42"/>
      <c r="S360" s="42"/>
      <c r="T360" s="42"/>
      <c r="U360" s="42"/>
      <c r="V360" s="42"/>
      <c r="W360" s="44"/>
      <c r="X360" s="42"/>
      <c r="Y360" s="42"/>
      <c r="Z360" s="42"/>
      <c r="AA360" s="44"/>
      <c r="AB360" s="44"/>
      <c r="AC360" s="44"/>
      <c r="AD360" s="42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</row>
    <row r="361" spans="1:55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26"/>
      <c r="M361" s="8"/>
      <c r="N361" s="8"/>
      <c r="O361" s="42"/>
      <c r="P361" s="42"/>
      <c r="Q361" s="42"/>
      <c r="R361" s="42"/>
      <c r="S361" s="42"/>
      <c r="T361" s="42"/>
      <c r="U361" s="42"/>
      <c r="V361" s="42"/>
      <c r="W361" s="44"/>
      <c r="X361" s="42"/>
      <c r="Y361" s="42"/>
      <c r="Z361" s="42"/>
      <c r="AA361" s="44"/>
      <c r="AB361" s="44"/>
      <c r="AC361" s="44"/>
      <c r="AD361" s="42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</row>
    <row r="362" spans="1:55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26"/>
      <c r="M362" s="8"/>
      <c r="N362" s="8"/>
      <c r="O362" s="42"/>
      <c r="P362" s="42"/>
      <c r="Q362" s="42"/>
      <c r="R362" s="42"/>
      <c r="S362" s="42"/>
      <c r="T362" s="42"/>
      <c r="U362" s="42"/>
      <c r="V362" s="42"/>
      <c r="W362" s="44"/>
      <c r="X362" s="42"/>
      <c r="Y362" s="42"/>
      <c r="Z362" s="42"/>
      <c r="AA362" s="44"/>
      <c r="AB362" s="44"/>
      <c r="AC362" s="44"/>
      <c r="AD362" s="42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</row>
    <row r="363" spans="1:55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26"/>
      <c r="M363" s="8"/>
      <c r="N363" s="8"/>
      <c r="O363" s="42"/>
      <c r="P363" s="42"/>
      <c r="Q363" s="42"/>
      <c r="R363" s="42"/>
      <c r="S363" s="42"/>
      <c r="T363" s="42"/>
      <c r="U363" s="42"/>
      <c r="V363" s="42"/>
      <c r="W363" s="44"/>
      <c r="X363" s="42"/>
      <c r="Y363" s="42"/>
      <c r="Z363" s="42"/>
      <c r="AA363" s="44"/>
      <c r="AB363" s="44"/>
      <c r="AC363" s="44"/>
      <c r="AD363" s="42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</row>
    <row r="364" spans="1:55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26"/>
      <c r="M364" s="8"/>
      <c r="N364" s="8"/>
      <c r="O364" s="42"/>
      <c r="P364" s="42"/>
      <c r="Q364" s="42"/>
      <c r="R364" s="42"/>
      <c r="S364" s="42"/>
      <c r="T364" s="42"/>
      <c r="U364" s="42"/>
      <c r="V364" s="42"/>
      <c r="W364" s="44"/>
      <c r="X364" s="42"/>
      <c r="Y364" s="42"/>
      <c r="Z364" s="42"/>
      <c r="AA364" s="44"/>
      <c r="AB364" s="44"/>
      <c r="AC364" s="44"/>
      <c r="AD364" s="42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</row>
    <row r="365" spans="1:55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26"/>
      <c r="M365" s="8"/>
      <c r="N365" s="8"/>
      <c r="O365" s="42"/>
      <c r="P365" s="42"/>
      <c r="Q365" s="42"/>
      <c r="R365" s="42"/>
      <c r="S365" s="42"/>
      <c r="T365" s="42"/>
      <c r="U365" s="42"/>
      <c r="V365" s="42"/>
      <c r="W365" s="44"/>
      <c r="X365" s="42"/>
      <c r="Y365" s="42"/>
      <c r="Z365" s="42"/>
      <c r="AA365" s="44"/>
      <c r="AB365" s="44"/>
      <c r="AC365" s="44"/>
      <c r="AD365" s="42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</row>
    <row r="366" spans="1:55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26"/>
      <c r="M366" s="8"/>
      <c r="N366" s="8"/>
      <c r="O366" s="42"/>
      <c r="P366" s="42"/>
      <c r="Q366" s="42"/>
      <c r="R366" s="42"/>
      <c r="S366" s="42"/>
      <c r="T366" s="42"/>
      <c r="U366" s="42"/>
      <c r="V366" s="42"/>
      <c r="W366" s="44"/>
      <c r="X366" s="42"/>
      <c r="Y366" s="42"/>
      <c r="Z366" s="42"/>
      <c r="AA366" s="44"/>
      <c r="AB366" s="44"/>
      <c r="AC366" s="44"/>
      <c r="AD366" s="42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</row>
    <row r="367" spans="1:55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26"/>
      <c r="M367" s="8"/>
      <c r="N367" s="8"/>
      <c r="O367" s="42"/>
      <c r="P367" s="42"/>
      <c r="Q367" s="42"/>
      <c r="R367" s="42"/>
      <c r="S367" s="42"/>
      <c r="T367" s="42"/>
      <c r="U367" s="42"/>
      <c r="V367" s="42"/>
      <c r="W367" s="44"/>
      <c r="X367" s="42"/>
      <c r="Y367" s="42"/>
      <c r="Z367" s="42"/>
      <c r="AA367" s="44"/>
      <c r="AB367" s="44"/>
      <c r="AC367" s="44"/>
      <c r="AD367" s="42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</row>
    <row r="368" spans="1:55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26"/>
      <c r="M368" s="8"/>
      <c r="N368" s="8"/>
      <c r="O368" s="42"/>
      <c r="P368" s="42"/>
      <c r="Q368" s="42"/>
      <c r="R368" s="42"/>
      <c r="S368" s="42"/>
      <c r="T368" s="42"/>
      <c r="U368" s="42"/>
      <c r="V368" s="42"/>
      <c r="W368" s="44"/>
      <c r="X368" s="42"/>
      <c r="Y368" s="42"/>
      <c r="Z368" s="42"/>
      <c r="AA368" s="44"/>
      <c r="AB368" s="44"/>
      <c r="AC368" s="44"/>
      <c r="AD368" s="42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</row>
    <row r="369" spans="1:55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26"/>
      <c r="M369" s="8"/>
      <c r="N369" s="8"/>
      <c r="O369" s="42"/>
      <c r="P369" s="42"/>
      <c r="Q369" s="42"/>
      <c r="R369" s="42"/>
      <c r="S369" s="42"/>
      <c r="T369" s="42"/>
      <c r="U369" s="42"/>
      <c r="V369" s="42"/>
      <c r="W369" s="44"/>
      <c r="X369" s="42"/>
      <c r="Y369" s="42"/>
      <c r="Z369" s="42"/>
      <c r="AA369" s="44"/>
      <c r="AB369" s="44"/>
      <c r="AC369" s="44"/>
      <c r="AD369" s="42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</row>
    <row r="370" spans="1:55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26"/>
      <c r="M370" s="8"/>
      <c r="N370" s="8"/>
      <c r="O370" s="42"/>
      <c r="P370" s="42"/>
      <c r="Q370" s="42"/>
      <c r="R370" s="42"/>
      <c r="S370" s="42"/>
      <c r="T370" s="42"/>
      <c r="U370" s="42"/>
      <c r="V370" s="42"/>
      <c r="W370" s="44"/>
      <c r="X370" s="42"/>
      <c r="Y370" s="42"/>
      <c r="Z370" s="42"/>
      <c r="AA370" s="44"/>
      <c r="AB370" s="44"/>
      <c r="AC370" s="44"/>
      <c r="AD370" s="42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</row>
    <row r="371" spans="1:55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26"/>
      <c r="M371" s="8"/>
      <c r="N371" s="8"/>
      <c r="O371" s="42"/>
      <c r="P371" s="42"/>
      <c r="Q371" s="42"/>
      <c r="R371" s="42"/>
      <c r="S371" s="42"/>
      <c r="T371" s="42"/>
      <c r="U371" s="42"/>
      <c r="V371" s="42"/>
      <c r="W371" s="44"/>
      <c r="X371" s="42"/>
      <c r="Y371" s="42"/>
      <c r="Z371" s="42"/>
      <c r="AA371" s="44"/>
      <c r="AB371" s="44"/>
      <c r="AC371" s="44"/>
      <c r="AD371" s="42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</row>
    <row r="372" spans="1:55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26"/>
      <c r="M372" s="8"/>
      <c r="N372" s="8"/>
      <c r="O372" s="42"/>
      <c r="P372" s="42"/>
      <c r="Q372" s="42"/>
      <c r="R372" s="42"/>
      <c r="S372" s="42"/>
      <c r="T372" s="42"/>
      <c r="U372" s="42"/>
      <c r="V372" s="42"/>
      <c r="W372" s="44"/>
      <c r="X372" s="42"/>
      <c r="Y372" s="42"/>
      <c r="Z372" s="42"/>
      <c r="AA372" s="44"/>
      <c r="AB372" s="44"/>
      <c r="AC372" s="44"/>
      <c r="AD372" s="42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</row>
    <row r="373" spans="1:55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26"/>
      <c r="M373" s="8"/>
      <c r="N373" s="8"/>
      <c r="O373" s="42"/>
      <c r="P373" s="42"/>
      <c r="Q373" s="42"/>
      <c r="R373" s="42"/>
      <c r="S373" s="42"/>
      <c r="T373" s="42"/>
      <c r="U373" s="42"/>
      <c r="V373" s="42"/>
      <c r="W373" s="44"/>
      <c r="X373" s="42"/>
      <c r="Y373" s="42"/>
      <c r="Z373" s="42"/>
      <c r="AA373" s="44"/>
      <c r="AB373" s="44"/>
      <c r="AC373" s="44"/>
      <c r="AD373" s="42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</row>
    <row r="374" spans="1:55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26"/>
      <c r="M374" s="8"/>
      <c r="N374" s="8"/>
      <c r="O374" s="42"/>
      <c r="P374" s="42"/>
      <c r="Q374" s="42"/>
      <c r="R374" s="42"/>
      <c r="S374" s="42"/>
      <c r="T374" s="42"/>
      <c r="U374" s="42"/>
      <c r="V374" s="42"/>
      <c r="W374" s="44"/>
      <c r="X374" s="42"/>
      <c r="Y374" s="42"/>
      <c r="Z374" s="42"/>
      <c r="AA374" s="44"/>
      <c r="AB374" s="44"/>
      <c r="AC374" s="44"/>
      <c r="AD374" s="42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</row>
    <row r="375" spans="1:55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26"/>
      <c r="M375" s="8"/>
      <c r="N375" s="8"/>
      <c r="O375" s="42"/>
      <c r="P375" s="42"/>
      <c r="Q375" s="42"/>
      <c r="R375" s="42"/>
      <c r="S375" s="42"/>
      <c r="T375" s="42"/>
      <c r="U375" s="42"/>
      <c r="V375" s="42"/>
      <c r="W375" s="44"/>
      <c r="X375" s="42"/>
      <c r="Y375" s="42"/>
      <c r="Z375" s="42"/>
      <c r="AA375" s="44"/>
      <c r="AB375" s="44"/>
      <c r="AC375" s="44"/>
      <c r="AD375" s="42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</row>
    <row r="376" spans="1:55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26"/>
      <c r="M376" s="8"/>
      <c r="N376" s="8"/>
      <c r="O376" s="42"/>
      <c r="P376" s="42"/>
      <c r="Q376" s="42"/>
      <c r="R376" s="42"/>
      <c r="S376" s="42"/>
      <c r="T376" s="42"/>
      <c r="U376" s="42"/>
      <c r="V376" s="42"/>
      <c r="W376" s="44"/>
      <c r="X376" s="42"/>
      <c r="Y376" s="42"/>
      <c r="Z376" s="42"/>
      <c r="AA376" s="44"/>
      <c r="AB376" s="44"/>
      <c r="AC376" s="44"/>
      <c r="AD376" s="42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</row>
    <row r="377" spans="1:55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26"/>
      <c r="M377" s="8"/>
      <c r="N377" s="8"/>
      <c r="O377" s="42"/>
      <c r="P377" s="42"/>
      <c r="Q377" s="42"/>
      <c r="R377" s="42"/>
      <c r="S377" s="42"/>
      <c r="T377" s="42"/>
      <c r="U377" s="42"/>
      <c r="V377" s="42"/>
      <c r="W377" s="44"/>
      <c r="X377" s="42"/>
      <c r="Y377" s="42"/>
      <c r="Z377" s="42"/>
      <c r="AA377" s="44"/>
      <c r="AB377" s="44"/>
      <c r="AC377" s="44"/>
      <c r="AD377" s="42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</row>
    <row r="378" spans="1:55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26"/>
      <c r="M378" s="8"/>
      <c r="N378" s="8"/>
      <c r="O378" s="42"/>
      <c r="P378" s="42"/>
      <c r="Q378" s="42"/>
      <c r="R378" s="42"/>
      <c r="S378" s="42"/>
      <c r="T378" s="42"/>
      <c r="U378" s="42"/>
      <c r="V378" s="42"/>
      <c r="W378" s="44"/>
      <c r="X378" s="42"/>
      <c r="Y378" s="42"/>
      <c r="Z378" s="42"/>
      <c r="AA378" s="44"/>
      <c r="AB378" s="44"/>
      <c r="AC378" s="44"/>
      <c r="AD378" s="42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</row>
    <row r="379" spans="1:55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26"/>
      <c r="M379" s="8"/>
      <c r="N379" s="8"/>
      <c r="O379" s="42"/>
      <c r="P379" s="42"/>
      <c r="Q379" s="42"/>
      <c r="R379" s="42"/>
      <c r="S379" s="42"/>
      <c r="T379" s="42"/>
      <c r="U379" s="42"/>
      <c r="V379" s="42"/>
      <c r="W379" s="44"/>
      <c r="X379" s="42"/>
      <c r="Y379" s="42"/>
      <c r="Z379" s="42"/>
      <c r="AA379" s="44"/>
      <c r="AB379" s="44"/>
      <c r="AC379" s="44"/>
      <c r="AD379" s="42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</row>
    <row r="380" spans="1:55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26"/>
      <c r="M380" s="8"/>
      <c r="N380" s="8"/>
      <c r="O380" s="42"/>
      <c r="P380" s="42"/>
      <c r="Q380" s="42"/>
      <c r="R380" s="42"/>
      <c r="S380" s="42"/>
      <c r="T380" s="42"/>
      <c r="U380" s="42"/>
      <c r="V380" s="42"/>
      <c r="W380" s="44"/>
      <c r="X380" s="42"/>
      <c r="Y380" s="42"/>
      <c r="Z380" s="42"/>
      <c r="AA380" s="44"/>
      <c r="AB380" s="44"/>
      <c r="AC380" s="44"/>
      <c r="AD380" s="42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</row>
    <row r="381" spans="1:55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26"/>
      <c r="M381" s="8"/>
      <c r="N381" s="8"/>
      <c r="O381" s="42"/>
      <c r="P381" s="42"/>
      <c r="Q381" s="42"/>
      <c r="R381" s="42"/>
      <c r="S381" s="42"/>
      <c r="T381" s="42"/>
      <c r="U381" s="42"/>
      <c r="V381" s="42"/>
      <c r="W381" s="44"/>
      <c r="X381" s="42"/>
      <c r="Y381" s="42"/>
      <c r="Z381" s="42"/>
      <c r="AA381" s="44"/>
      <c r="AB381" s="44"/>
      <c r="AC381" s="44"/>
      <c r="AD381" s="42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</row>
    <row r="382" spans="1:55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26"/>
      <c r="M382" s="8"/>
      <c r="N382" s="8"/>
      <c r="O382" s="42"/>
      <c r="P382" s="42"/>
      <c r="Q382" s="42"/>
      <c r="R382" s="42"/>
      <c r="S382" s="42"/>
      <c r="T382" s="42"/>
      <c r="U382" s="42"/>
      <c r="V382" s="42"/>
      <c r="W382" s="44"/>
      <c r="X382" s="42"/>
      <c r="Y382" s="42"/>
      <c r="Z382" s="42"/>
      <c r="AA382" s="44"/>
      <c r="AB382" s="44"/>
      <c r="AC382" s="44"/>
      <c r="AD382" s="42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</row>
    <row r="383" spans="1:55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26"/>
      <c r="M383" s="8"/>
      <c r="N383" s="8"/>
      <c r="O383" s="42"/>
      <c r="P383" s="42"/>
      <c r="Q383" s="42"/>
      <c r="R383" s="42"/>
      <c r="S383" s="42"/>
      <c r="T383" s="42"/>
      <c r="U383" s="42"/>
      <c r="V383" s="42"/>
      <c r="W383" s="44"/>
      <c r="X383" s="42"/>
      <c r="Y383" s="42"/>
      <c r="Z383" s="42"/>
      <c r="AA383" s="44"/>
      <c r="AB383" s="44"/>
      <c r="AC383" s="44"/>
      <c r="AD383" s="42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</row>
    <row r="384" spans="1:55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26"/>
      <c r="M384" s="8"/>
      <c r="N384" s="8"/>
      <c r="O384" s="42"/>
      <c r="P384" s="42"/>
      <c r="Q384" s="42"/>
      <c r="R384" s="42"/>
      <c r="S384" s="42"/>
      <c r="T384" s="42"/>
      <c r="U384" s="42"/>
      <c r="V384" s="42"/>
      <c r="W384" s="44"/>
      <c r="X384" s="42"/>
      <c r="Y384" s="42"/>
      <c r="Z384" s="42"/>
      <c r="AA384" s="44"/>
      <c r="AB384" s="44"/>
      <c r="AC384" s="44"/>
      <c r="AD384" s="42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</row>
    <row r="385" spans="1:55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26"/>
      <c r="M385" s="8"/>
      <c r="N385" s="8"/>
      <c r="O385" s="42"/>
      <c r="P385" s="42"/>
      <c r="Q385" s="42"/>
      <c r="R385" s="42"/>
      <c r="S385" s="42"/>
      <c r="T385" s="42"/>
      <c r="U385" s="42"/>
      <c r="V385" s="42"/>
      <c r="W385" s="44"/>
      <c r="X385" s="42"/>
      <c r="Y385" s="42"/>
      <c r="Z385" s="42"/>
      <c r="AA385" s="44"/>
      <c r="AB385" s="44"/>
      <c r="AC385" s="44"/>
      <c r="AD385" s="42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</row>
    <row r="386" spans="1:55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26"/>
      <c r="M386" s="8"/>
      <c r="N386" s="8"/>
      <c r="O386" s="42"/>
      <c r="P386" s="42"/>
      <c r="Q386" s="42"/>
      <c r="R386" s="42"/>
      <c r="S386" s="42"/>
      <c r="T386" s="42"/>
      <c r="U386" s="42"/>
      <c r="V386" s="42"/>
      <c r="W386" s="44"/>
      <c r="X386" s="42"/>
      <c r="Y386" s="42"/>
      <c r="Z386" s="42"/>
      <c r="AA386" s="44"/>
      <c r="AB386" s="44"/>
      <c r="AC386" s="44"/>
      <c r="AD386" s="42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</row>
    <row r="387" spans="1:55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26"/>
      <c r="M387" s="8"/>
      <c r="N387" s="8"/>
      <c r="O387" s="42"/>
      <c r="P387" s="42"/>
      <c r="Q387" s="42"/>
      <c r="R387" s="42"/>
      <c r="S387" s="42"/>
      <c r="T387" s="42"/>
      <c r="U387" s="42"/>
      <c r="V387" s="42"/>
      <c r="W387" s="44"/>
      <c r="X387" s="42"/>
      <c r="Y387" s="42"/>
      <c r="Z387" s="42"/>
      <c r="AA387" s="44"/>
      <c r="AB387" s="44"/>
      <c r="AC387" s="44"/>
      <c r="AD387" s="42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</row>
    <row r="388" spans="1:55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26"/>
      <c r="M388" s="8"/>
      <c r="N388" s="8"/>
      <c r="O388" s="42"/>
      <c r="P388" s="42"/>
      <c r="Q388" s="42"/>
      <c r="R388" s="42"/>
      <c r="S388" s="42"/>
      <c r="T388" s="42"/>
      <c r="U388" s="42"/>
      <c r="V388" s="42"/>
      <c r="W388" s="44"/>
      <c r="X388" s="42"/>
      <c r="Y388" s="42"/>
      <c r="Z388" s="42"/>
      <c r="AA388" s="44"/>
      <c r="AB388" s="44"/>
      <c r="AC388" s="44"/>
      <c r="AD388" s="42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</row>
    <row r="389" spans="1:55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26"/>
      <c r="M389" s="8"/>
      <c r="N389" s="8"/>
      <c r="O389" s="42"/>
      <c r="P389" s="42"/>
      <c r="Q389" s="42"/>
      <c r="R389" s="42"/>
      <c r="S389" s="42"/>
      <c r="T389" s="42"/>
      <c r="U389" s="42"/>
      <c r="V389" s="42"/>
      <c r="W389" s="44"/>
      <c r="X389" s="42"/>
      <c r="Y389" s="42"/>
      <c r="Z389" s="42"/>
      <c r="AA389" s="44"/>
      <c r="AB389" s="44"/>
      <c r="AC389" s="44"/>
      <c r="AD389" s="42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</row>
    <row r="390" spans="1:55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26"/>
      <c r="M390" s="8"/>
      <c r="N390" s="8"/>
      <c r="O390" s="42"/>
      <c r="P390" s="42"/>
      <c r="Q390" s="42"/>
      <c r="R390" s="42"/>
      <c r="S390" s="42"/>
      <c r="T390" s="42"/>
      <c r="U390" s="42"/>
      <c r="V390" s="42"/>
      <c r="W390" s="44"/>
      <c r="X390" s="42"/>
      <c r="Y390" s="42"/>
      <c r="Z390" s="42"/>
      <c r="AA390" s="44"/>
      <c r="AB390" s="44"/>
      <c r="AC390" s="44"/>
      <c r="AD390" s="42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</row>
    <row r="391" spans="1:55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26"/>
      <c r="M391" s="8"/>
      <c r="N391" s="8"/>
      <c r="O391" s="42"/>
      <c r="P391" s="42"/>
      <c r="Q391" s="42"/>
      <c r="R391" s="42"/>
      <c r="S391" s="42"/>
      <c r="T391" s="42"/>
      <c r="U391" s="42"/>
      <c r="V391" s="42"/>
      <c r="W391" s="44"/>
      <c r="X391" s="42"/>
      <c r="Y391" s="42"/>
      <c r="Z391" s="42"/>
      <c r="AA391" s="44"/>
      <c r="AB391" s="44"/>
      <c r="AC391" s="44"/>
      <c r="AD391" s="42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</row>
    <row r="392" spans="1:55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26"/>
      <c r="M392" s="8"/>
      <c r="N392" s="8"/>
      <c r="O392" s="42"/>
      <c r="P392" s="42"/>
      <c r="Q392" s="42"/>
      <c r="R392" s="42"/>
      <c r="S392" s="42"/>
      <c r="T392" s="42"/>
      <c r="U392" s="42"/>
      <c r="V392" s="42"/>
      <c r="W392" s="44"/>
      <c r="X392" s="42"/>
      <c r="Y392" s="42"/>
      <c r="Z392" s="42"/>
      <c r="AA392" s="44"/>
      <c r="AB392" s="44"/>
      <c r="AC392" s="44"/>
      <c r="AD392" s="42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</row>
    <row r="393" spans="1:55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26"/>
      <c r="M393" s="8"/>
      <c r="N393" s="8"/>
      <c r="O393" s="42"/>
      <c r="P393" s="42"/>
      <c r="Q393" s="42"/>
      <c r="R393" s="42"/>
      <c r="S393" s="42"/>
      <c r="T393" s="42"/>
      <c r="U393" s="42"/>
      <c r="V393" s="42"/>
      <c r="W393" s="44"/>
      <c r="X393" s="42"/>
      <c r="Y393" s="42"/>
      <c r="Z393" s="42"/>
      <c r="AA393" s="44"/>
      <c r="AB393" s="44"/>
      <c r="AC393" s="44"/>
      <c r="AD393" s="42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</row>
    <row r="394" spans="1:55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26"/>
      <c r="M394" s="8"/>
      <c r="N394" s="8"/>
      <c r="O394" s="42"/>
      <c r="P394" s="42"/>
      <c r="Q394" s="42"/>
      <c r="R394" s="42"/>
      <c r="S394" s="42"/>
      <c r="T394" s="42"/>
      <c r="U394" s="42"/>
      <c r="V394" s="42"/>
      <c r="W394" s="44"/>
      <c r="X394" s="42"/>
      <c r="Y394" s="42"/>
      <c r="Z394" s="42"/>
      <c r="AA394" s="44"/>
      <c r="AB394" s="44"/>
      <c r="AC394" s="44"/>
      <c r="AD394" s="42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</row>
    <row r="395" spans="1:55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26"/>
      <c r="M395" s="8"/>
      <c r="N395" s="8"/>
      <c r="O395" s="42"/>
      <c r="P395" s="42"/>
      <c r="Q395" s="42"/>
      <c r="R395" s="42"/>
      <c r="S395" s="42"/>
      <c r="T395" s="42"/>
      <c r="U395" s="42"/>
      <c r="V395" s="42"/>
      <c r="W395" s="44"/>
      <c r="X395" s="42"/>
      <c r="Y395" s="42"/>
      <c r="Z395" s="42"/>
      <c r="AA395" s="44"/>
      <c r="AB395" s="44"/>
      <c r="AC395" s="44"/>
      <c r="AD395" s="42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</row>
    <row r="396" spans="1:55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26"/>
      <c r="M396" s="8"/>
      <c r="N396" s="8"/>
      <c r="O396" s="42"/>
      <c r="P396" s="42"/>
      <c r="Q396" s="42"/>
      <c r="R396" s="42"/>
      <c r="S396" s="42"/>
      <c r="T396" s="42"/>
      <c r="U396" s="42"/>
      <c r="V396" s="42"/>
      <c r="W396" s="44"/>
      <c r="X396" s="42"/>
      <c r="Y396" s="42"/>
      <c r="Z396" s="42"/>
      <c r="AA396" s="44"/>
      <c r="AB396" s="44"/>
      <c r="AC396" s="44"/>
      <c r="AD396" s="42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</row>
    <row r="397" spans="1:55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26"/>
      <c r="M397" s="8"/>
      <c r="N397" s="8"/>
      <c r="O397" s="42"/>
      <c r="P397" s="42"/>
      <c r="Q397" s="42"/>
      <c r="R397" s="42"/>
      <c r="S397" s="42"/>
      <c r="T397" s="42"/>
      <c r="U397" s="42"/>
      <c r="V397" s="42"/>
      <c r="W397" s="44"/>
      <c r="X397" s="42"/>
      <c r="Y397" s="42"/>
      <c r="Z397" s="42"/>
      <c r="AA397" s="44"/>
      <c r="AB397" s="44"/>
      <c r="AC397" s="44"/>
      <c r="AD397" s="42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</row>
    <row r="398" spans="1:55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26"/>
      <c r="M398" s="8"/>
      <c r="N398" s="8"/>
      <c r="O398" s="42"/>
      <c r="P398" s="42"/>
      <c r="Q398" s="42"/>
      <c r="R398" s="42"/>
      <c r="S398" s="42"/>
      <c r="T398" s="42"/>
      <c r="U398" s="42"/>
      <c r="V398" s="42"/>
      <c r="W398" s="44"/>
      <c r="X398" s="42"/>
      <c r="Y398" s="42"/>
      <c r="Z398" s="42"/>
      <c r="AA398" s="44"/>
      <c r="AB398" s="44"/>
      <c r="AC398" s="44"/>
      <c r="AD398" s="42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</row>
    <row r="399" spans="1:55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26"/>
      <c r="M399" s="8"/>
      <c r="N399" s="8"/>
      <c r="O399" s="42"/>
      <c r="P399" s="42"/>
      <c r="Q399" s="42"/>
      <c r="R399" s="42"/>
      <c r="S399" s="42"/>
      <c r="T399" s="42"/>
      <c r="U399" s="42"/>
      <c r="V399" s="42"/>
      <c r="W399" s="44"/>
      <c r="X399" s="42"/>
      <c r="Y399" s="42"/>
      <c r="Z399" s="42"/>
      <c r="AA399" s="44"/>
      <c r="AB399" s="44"/>
      <c r="AC399" s="44"/>
      <c r="AD399" s="42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</row>
    <row r="400" spans="1:55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26"/>
      <c r="M400" s="8"/>
      <c r="N400" s="8"/>
      <c r="O400" s="42"/>
      <c r="P400" s="42"/>
      <c r="Q400" s="42"/>
      <c r="R400" s="42"/>
      <c r="S400" s="42"/>
      <c r="T400" s="42"/>
      <c r="U400" s="42"/>
      <c r="V400" s="42"/>
      <c r="W400" s="44"/>
      <c r="X400" s="42"/>
      <c r="Y400" s="42"/>
      <c r="Z400" s="42"/>
      <c r="AA400" s="44"/>
      <c r="AB400" s="44"/>
      <c r="AC400" s="44"/>
      <c r="AD400" s="42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</row>
    <row r="401" spans="1:55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26"/>
      <c r="M401" s="8"/>
      <c r="N401" s="8"/>
      <c r="O401" s="42"/>
      <c r="P401" s="42"/>
      <c r="Q401" s="42"/>
      <c r="R401" s="42"/>
      <c r="S401" s="42"/>
      <c r="T401" s="42"/>
      <c r="U401" s="42"/>
      <c r="V401" s="42"/>
      <c r="W401" s="44"/>
      <c r="X401" s="42"/>
      <c r="Y401" s="42"/>
      <c r="Z401" s="42"/>
      <c r="AA401" s="44"/>
      <c r="AB401" s="44"/>
      <c r="AC401" s="44"/>
      <c r="AD401" s="42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</row>
    <row r="402" spans="1:55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26"/>
      <c r="M402" s="8"/>
      <c r="N402" s="8"/>
      <c r="O402" s="42"/>
      <c r="P402" s="42"/>
      <c r="Q402" s="42"/>
      <c r="R402" s="42"/>
      <c r="S402" s="42"/>
      <c r="T402" s="42"/>
      <c r="U402" s="42"/>
      <c r="V402" s="42"/>
      <c r="W402" s="44"/>
      <c r="X402" s="42"/>
      <c r="Y402" s="42"/>
      <c r="Z402" s="42"/>
      <c r="AA402" s="44"/>
      <c r="AB402" s="44"/>
      <c r="AC402" s="44"/>
      <c r="AD402" s="42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</row>
    <row r="403" spans="1:55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26"/>
      <c r="M403" s="8"/>
      <c r="N403" s="8"/>
      <c r="O403" s="42"/>
      <c r="P403" s="42"/>
      <c r="Q403" s="42"/>
      <c r="R403" s="42"/>
      <c r="S403" s="42"/>
      <c r="T403" s="42"/>
      <c r="U403" s="42"/>
      <c r="V403" s="42"/>
      <c r="W403" s="44"/>
      <c r="X403" s="42"/>
      <c r="Y403" s="42"/>
      <c r="Z403" s="42"/>
      <c r="AA403" s="44"/>
      <c r="AB403" s="44"/>
      <c r="AC403" s="44"/>
      <c r="AD403" s="42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</row>
    <row r="404" spans="1:55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26"/>
      <c r="M404" s="8"/>
      <c r="N404" s="8"/>
      <c r="O404" s="42"/>
      <c r="P404" s="42"/>
      <c r="Q404" s="42"/>
      <c r="R404" s="42"/>
      <c r="S404" s="42"/>
      <c r="T404" s="42"/>
      <c r="U404" s="42"/>
      <c r="V404" s="42"/>
      <c r="W404" s="44"/>
      <c r="X404" s="42"/>
      <c r="Y404" s="42"/>
      <c r="Z404" s="42"/>
      <c r="AA404" s="44"/>
      <c r="AB404" s="44"/>
      <c r="AC404" s="44"/>
      <c r="AD404" s="42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</row>
    <row r="405" spans="1:55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26"/>
      <c r="M405" s="8"/>
      <c r="N405" s="8"/>
      <c r="O405" s="42"/>
      <c r="P405" s="42"/>
      <c r="Q405" s="42"/>
      <c r="R405" s="42"/>
      <c r="S405" s="42"/>
      <c r="T405" s="42"/>
      <c r="U405" s="42"/>
      <c r="V405" s="42"/>
      <c r="W405" s="44"/>
      <c r="X405" s="42"/>
      <c r="Y405" s="42"/>
      <c r="Z405" s="42"/>
      <c r="AA405" s="44"/>
      <c r="AB405" s="44"/>
      <c r="AC405" s="44"/>
      <c r="AD405" s="42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</row>
    <row r="406" spans="1:55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26"/>
      <c r="M406" s="8"/>
      <c r="N406" s="8"/>
      <c r="O406" s="42"/>
      <c r="P406" s="42"/>
      <c r="Q406" s="42"/>
      <c r="R406" s="42"/>
      <c r="S406" s="42"/>
      <c r="T406" s="42"/>
      <c r="U406" s="42"/>
      <c r="V406" s="42"/>
      <c r="W406" s="44"/>
      <c r="X406" s="42"/>
      <c r="Y406" s="42"/>
      <c r="Z406" s="42"/>
      <c r="AA406" s="44"/>
      <c r="AB406" s="44"/>
      <c r="AC406" s="44"/>
      <c r="AD406" s="42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</row>
    <row r="407" spans="1:55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26"/>
      <c r="M407" s="8"/>
      <c r="N407" s="8"/>
      <c r="O407" s="42"/>
      <c r="P407" s="42"/>
      <c r="Q407" s="42"/>
      <c r="R407" s="42"/>
      <c r="S407" s="42"/>
      <c r="T407" s="42"/>
      <c r="U407" s="42"/>
      <c r="V407" s="42"/>
      <c r="W407" s="44"/>
      <c r="X407" s="42"/>
      <c r="Y407" s="42"/>
      <c r="Z407" s="42"/>
      <c r="AA407" s="44"/>
      <c r="AB407" s="44"/>
      <c r="AC407" s="44"/>
      <c r="AD407" s="42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</row>
    <row r="408" spans="1:55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26"/>
      <c r="M408" s="8"/>
      <c r="N408" s="8"/>
      <c r="O408" s="42"/>
      <c r="P408" s="42"/>
      <c r="Q408" s="42"/>
      <c r="R408" s="42"/>
      <c r="S408" s="42"/>
      <c r="T408" s="42"/>
      <c r="U408" s="42"/>
      <c r="V408" s="42"/>
      <c r="W408" s="44"/>
      <c r="X408" s="42"/>
      <c r="Y408" s="42"/>
      <c r="Z408" s="42"/>
      <c r="AA408" s="44"/>
      <c r="AB408" s="44"/>
      <c r="AC408" s="44"/>
      <c r="AD408" s="42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</row>
    <row r="409" spans="1:55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26"/>
      <c r="M409" s="8"/>
      <c r="N409" s="8"/>
      <c r="O409" s="42"/>
      <c r="P409" s="42"/>
      <c r="Q409" s="42"/>
      <c r="R409" s="42"/>
      <c r="S409" s="42"/>
      <c r="T409" s="42"/>
      <c r="U409" s="42"/>
      <c r="V409" s="42"/>
      <c r="W409" s="44"/>
      <c r="X409" s="42"/>
      <c r="Y409" s="42"/>
      <c r="Z409" s="42"/>
      <c r="AA409" s="44"/>
      <c r="AB409" s="44"/>
      <c r="AC409" s="44"/>
      <c r="AD409" s="42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</row>
    <row r="410" spans="1:55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26"/>
      <c r="M410" s="8"/>
      <c r="N410" s="8"/>
      <c r="O410" s="42"/>
      <c r="P410" s="42"/>
      <c r="Q410" s="42"/>
      <c r="R410" s="42"/>
      <c r="S410" s="42"/>
      <c r="T410" s="42"/>
      <c r="U410" s="42"/>
      <c r="V410" s="42"/>
      <c r="W410" s="44"/>
      <c r="X410" s="42"/>
      <c r="Y410" s="42"/>
      <c r="Z410" s="42"/>
      <c r="AA410" s="44"/>
      <c r="AB410" s="44"/>
      <c r="AC410" s="44"/>
      <c r="AD410" s="42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</row>
    <row r="411" spans="1:55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26"/>
      <c r="M411" s="8"/>
      <c r="N411" s="8"/>
      <c r="O411" s="42"/>
      <c r="P411" s="42"/>
      <c r="Q411" s="42"/>
      <c r="R411" s="42"/>
      <c r="S411" s="42"/>
      <c r="T411" s="42"/>
      <c r="U411" s="42"/>
      <c r="V411" s="42"/>
      <c r="W411" s="44"/>
      <c r="X411" s="42"/>
      <c r="Y411" s="42"/>
      <c r="Z411" s="42"/>
      <c r="AA411" s="44"/>
      <c r="AB411" s="44"/>
      <c r="AC411" s="44"/>
      <c r="AD411" s="42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</row>
    <row r="412" spans="1:55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26"/>
      <c r="M412" s="8"/>
      <c r="N412" s="8"/>
      <c r="O412" s="42"/>
      <c r="P412" s="42"/>
      <c r="Q412" s="42"/>
      <c r="R412" s="42"/>
      <c r="S412" s="42"/>
      <c r="T412" s="42"/>
      <c r="U412" s="42"/>
      <c r="V412" s="42"/>
      <c r="W412" s="44"/>
      <c r="X412" s="42"/>
      <c r="Y412" s="42"/>
      <c r="Z412" s="42"/>
      <c r="AA412" s="44"/>
      <c r="AB412" s="44"/>
      <c r="AC412" s="44"/>
      <c r="AD412" s="42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</row>
    <row r="413" spans="1:55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26"/>
      <c r="M413" s="8"/>
      <c r="N413" s="8"/>
      <c r="O413" s="42"/>
      <c r="P413" s="42"/>
      <c r="Q413" s="42"/>
      <c r="R413" s="42"/>
      <c r="S413" s="42"/>
      <c r="T413" s="42"/>
      <c r="U413" s="42"/>
      <c r="V413" s="42"/>
      <c r="W413" s="44"/>
      <c r="X413" s="42"/>
      <c r="Y413" s="42"/>
      <c r="Z413" s="42"/>
      <c r="AA413" s="44"/>
      <c r="AB413" s="44"/>
      <c r="AC413" s="44"/>
      <c r="AD413" s="42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</row>
    <row r="414" spans="1:55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26"/>
      <c r="M414" s="8"/>
      <c r="N414" s="8"/>
      <c r="O414" s="42"/>
      <c r="P414" s="42"/>
      <c r="Q414" s="42"/>
      <c r="R414" s="42"/>
      <c r="S414" s="42"/>
      <c r="T414" s="42"/>
      <c r="U414" s="42"/>
      <c r="V414" s="42"/>
      <c r="W414" s="44"/>
      <c r="X414" s="42"/>
      <c r="Y414" s="42"/>
      <c r="Z414" s="42"/>
      <c r="AA414" s="44"/>
      <c r="AB414" s="44"/>
      <c r="AC414" s="44"/>
      <c r="AD414" s="42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</row>
    <row r="415" spans="1:55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26"/>
      <c r="M415" s="8"/>
      <c r="N415" s="8"/>
      <c r="O415" s="42"/>
      <c r="P415" s="42"/>
      <c r="Q415" s="42"/>
      <c r="R415" s="42"/>
      <c r="S415" s="42"/>
      <c r="T415" s="42"/>
      <c r="U415" s="42"/>
      <c r="V415" s="42"/>
      <c r="W415" s="44"/>
      <c r="X415" s="42"/>
      <c r="Y415" s="42"/>
      <c r="Z415" s="42"/>
      <c r="AA415" s="44"/>
      <c r="AB415" s="44"/>
      <c r="AC415" s="44"/>
      <c r="AD415" s="42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</row>
    <row r="416" spans="1:55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26"/>
      <c r="M416" s="8"/>
      <c r="N416" s="8"/>
      <c r="O416" s="42"/>
      <c r="P416" s="42"/>
      <c r="Q416" s="42"/>
      <c r="R416" s="42"/>
      <c r="S416" s="42"/>
      <c r="T416" s="42"/>
      <c r="U416" s="42"/>
      <c r="V416" s="42"/>
      <c r="W416" s="44"/>
      <c r="X416" s="42"/>
      <c r="Y416" s="42"/>
      <c r="Z416" s="42"/>
      <c r="AA416" s="44"/>
      <c r="AB416" s="44"/>
      <c r="AC416" s="44"/>
      <c r="AD416" s="42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</row>
    <row r="417" spans="1:55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26"/>
      <c r="M417" s="8"/>
      <c r="N417" s="8"/>
      <c r="O417" s="42"/>
      <c r="P417" s="42"/>
      <c r="Q417" s="42"/>
      <c r="R417" s="42"/>
      <c r="S417" s="42"/>
      <c r="T417" s="42"/>
      <c r="U417" s="42"/>
      <c r="V417" s="42"/>
      <c r="W417" s="44"/>
      <c r="X417" s="42"/>
      <c r="Y417" s="42"/>
      <c r="Z417" s="42"/>
      <c r="AA417" s="44"/>
      <c r="AB417" s="44"/>
      <c r="AC417" s="44"/>
      <c r="AD417" s="42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</row>
    <row r="418" spans="1:55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26"/>
      <c r="M418" s="8"/>
      <c r="N418" s="8"/>
      <c r="O418" s="42"/>
      <c r="P418" s="42"/>
      <c r="Q418" s="42"/>
      <c r="R418" s="42"/>
      <c r="S418" s="42"/>
      <c r="T418" s="42"/>
      <c r="U418" s="42"/>
      <c r="V418" s="42"/>
      <c r="W418" s="44"/>
      <c r="X418" s="42"/>
      <c r="Y418" s="42"/>
      <c r="Z418" s="42"/>
      <c r="AA418" s="44"/>
      <c r="AB418" s="44"/>
      <c r="AC418" s="44"/>
      <c r="AD418" s="42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</row>
    <row r="419" spans="1:55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26"/>
      <c r="M419" s="8"/>
      <c r="N419" s="8"/>
      <c r="O419" s="42"/>
      <c r="P419" s="42"/>
      <c r="Q419" s="42"/>
      <c r="R419" s="42"/>
      <c r="S419" s="42"/>
      <c r="T419" s="42"/>
      <c r="U419" s="42"/>
      <c r="V419" s="42"/>
      <c r="W419" s="44"/>
      <c r="X419" s="42"/>
      <c r="Y419" s="42"/>
      <c r="Z419" s="42"/>
      <c r="AA419" s="44"/>
      <c r="AB419" s="44"/>
      <c r="AC419" s="44"/>
      <c r="AD419" s="42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</row>
    <row r="420" spans="1:55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26"/>
      <c r="M420" s="8"/>
      <c r="N420" s="8"/>
      <c r="O420" s="42"/>
      <c r="P420" s="42"/>
      <c r="Q420" s="42"/>
      <c r="R420" s="42"/>
      <c r="S420" s="42"/>
      <c r="T420" s="42"/>
      <c r="U420" s="42"/>
      <c r="V420" s="42"/>
      <c r="W420" s="44"/>
      <c r="X420" s="42"/>
      <c r="Y420" s="42"/>
      <c r="Z420" s="42"/>
      <c r="AA420" s="44"/>
      <c r="AB420" s="44"/>
      <c r="AC420" s="44"/>
      <c r="AD420" s="42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</row>
    <row r="421" spans="1:55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26"/>
      <c r="M421" s="8"/>
      <c r="N421" s="8"/>
      <c r="O421" s="42"/>
      <c r="P421" s="42"/>
      <c r="Q421" s="42"/>
      <c r="R421" s="42"/>
      <c r="S421" s="42"/>
      <c r="T421" s="42"/>
      <c r="U421" s="42"/>
      <c r="V421" s="42"/>
      <c r="W421" s="44"/>
      <c r="X421" s="42"/>
      <c r="Y421" s="42"/>
      <c r="Z421" s="42"/>
      <c r="AA421" s="44"/>
      <c r="AB421" s="44"/>
      <c r="AC421" s="44"/>
      <c r="AD421" s="42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</row>
    <row r="422" spans="1:55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26"/>
      <c r="M422" s="8"/>
      <c r="N422" s="8"/>
      <c r="O422" s="42"/>
      <c r="P422" s="42"/>
      <c r="Q422" s="42"/>
      <c r="R422" s="42"/>
      <c r="S422" s="42"/>
      <c r="T422" s="42"/>
      <c r="U422" s="42"/>
      <c r="V422" s="42"/>
      <c r="W422" s="44"/>
      <c r="X422" s="42"/>
      <c r="Y422" s="42"/>
      <c r="Z422" s="42"/>
      <c r="AA422" s="44"/>
      <c r="AB422" s="44"/>
      <c r="AC422" s="44"/>
      <c r="AD422" s="42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</row>
    <row r="423" spans="1:55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26"/>
      <c r="M423" s="8"/>
      <c r="N423" s="8"/>
      <c r="O423" s="42"/>
      <c r="P423" s="42"/>
      <c r="Q423" s="42"/>
      <c r="R423" s="42"/>
      <c r="S423" s="42"/>
      <c r="T423" s="42"/>
      <c r="U423" s="42"/>
      <c r="V423" s="42"/>
      <c r="W423" s="44"/>
      <c r="X423" s="42"/>
      <c r="Y423" s="42"/>
      <c r="Z423" s="42"/>
      <c r="AA423" s="44"/>
      <c r="AB423" s="44"/>
      <c r="AC423" s="44"/>
      <c r="AD423" s="42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</row>
    <row r="424" spans="1:55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26"/>
      <c r="M424" s="8"/>
      <c r="N424" s="8"/>
      <c r="O424" s="42"/>
      <c r="P424" s="42"/>
      <c r="Q424" s="42"/>
      <c r="R424" s="42"/>
      <c r="S424" s="42"/>
      <c r="T424" s="42"/>
      <c r="U424" s="42"/>
      <c r="V424" s="42"/>
      <c r="W424" s="44"/>
      <c r="X424" s="42"/>
      <c r="Y424" s="42"/>
      <c r="Z424" s="42"/>
      <c r="AA424" s="44"/>
      <c r="AB424" s="44"/>
      <c r="AC424" s="44"/>
      <c r="AD424" s="42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</row>
    <row r="425" spans="1:55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26"/>
      <c r="M425" s="8"/>
      <c r="N425" s="8"/>
      <c r="O425" s="42"/>
      <c r="P425" s="42"/>
      <c r="Q425" s="42"/>
      <c r="R425" s="42"/>
      <c r="S425" s="42"/>
      <c r="T425" s="42"/>
      <c r="U425" s="42"/>
      <c r="V425" s="42"/>
      <c r="W425" s="44"/>
      <c r="X425" s="42"/>
      <c r="Y425" s="42"/>
      <c r="Z425" s="42"/>
      <c r="AA425" s="44"/>
      <c r="AB425" s="44"/>
      <c r="AC425" s="44"/>
      <c r="AD425" s="42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</row>
    <row r="426" spans="1:55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26"/>
      <c r="M426" s="8"/>
      <c r="N426" s="8"/>
      <c r="O426" s="42"/>
      <c r="P426" s="42"/>
      <c r="Q426" s="42"/>
      <c r="R426" s="42"/>
      <c r="S426" s="42"/>
      <c r="T426" s="42"/>
      <c r="U426" s="42"/>
      <c r="V426" s="42"/>
      <c r="W426" s="44"/>
      <c r="X426" s="42"/>
      <c r="Y426" s="42"/>
      <c r="Z426" s="42"/>
      <c r="AA426" s="44"/>
      <c r="AB426" s="44"/>
      <c r="AC426" s="44"/>
      <c r="AD426" s="42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</row>
    <row r="427" spans="1:55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26"/>
      <c r="M427" s="8"/>
      <c r="N427" s="8"/>
      <c r="O427" s="42"/>
      <c r="P427" s="42"/>
      <c r="Q427" s="42"/>
      <c r="R427" s="42"/>
      <c r="S427" s="42"/>
      <c r="T427" s="42"/>
      <c r="U427" s="42"/>
      <c r="V427" s="42"/>
      <c r="W427" s="44"/>
      <c r="X427" s="42"/>
      <c r="Y427" s="42"/>
      <c r="Z427" s="42"/>
      <c r="AA427" s="44"/>
      <c r="AB427" s="44"/>
      <c r="AC427" s="44"/>
      <c r="AD427" s="42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</row>
    <row r="428" spans="1:55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26"/>
      <c r="M428" s="8"/>
      <c r="N428" s="8"/>
      <c r="O428" s="42"/>
      <c r="P428" s="42"/>
      <c r="Q428" s="42"/>
      <c r="R428" s="42"/>
      <c r="S428" s="42"/>
      <c r="T428" s="42"/>
      <c r="U428" s="42"/>
      <c r="V428" s="42"/>
      <c r="W428" s="44"/>
      <c r="X428" s="42"/>
      <c r="Y428" s="42"/>
      <c r="Z428" s="42"/>
      <c r="AA428" s="44"/>
      <c r="AB428" s="44"/>
      <c r="AC428" s="44"/>
      <c r="AD428" s="42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</row>
    <row r="429" spans="1:55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26"/>
      <c r="M429" s="8"/>
      <c r="N429" s="8"/>
      <c r="O429" s="42"/>
      <c r="P429" s="42"/>
      <c r="Q429" s="42"/>
      <c r="R429" s="42"/>
      <c r="S429" s="42"/>
      <c r="T429" s="42"/>
      <c r="U429" s="42"/>
      <c r="V429" s="42"/>
      <c r="W429" s="44"/>
      <c r="X429" s="42"/>
      <c r="Y429" s="42"/>
      <c r="Z429" s="42"/>
      <c r="AA429" s="44"/>
      <c r="AB429" s="44"/>
      <c r="AC429" s="44"/>
      <c r="AD429" s="42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</row>
    <row r="430" spans="1:55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26"/>
      <c r="M430" s="8"/>
      <c r="N430" s="8"/>
      <c r="O430" s="42"/>
      <c r="P430" s="42"/>
      <c r="Q430" s="42"/>
      <c r="R430" s="42"/>
      <c r="S430" s="42"/>
      <c r="T430" s="42"/>
      <c r="U430" s="42"/>
      <c r="V430" s="42"/>
      <c r="W430" s="44"/>
      <c r="X430" s="42"/>
      <c r="Y430" s="42"/>
      <c r="Z430" s="42"/>
      <c r="AA430" s="44"/>
      <c r="AB430" s="44"/>
      <c r="AC430" s="44"/>
      <c r="AD430" s="42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</row>
    <row r="431" spans="1:55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26"/>
      <c r="M431" s="8"/>
      <c r="N431" s="8"/>
      <c r="O431" s="42"/>
      <c r="P431" s="42"/>
      <c r="Q431" s="42"/>
      <c r="R431" s="42"/>
      <c r="S431" s="42"/>
      <c r="T431" s="42"/>
      <c r="U431" s="42"/>
      <c r="V431" s="42"/>
      <c r="W431" s="44"/>
      <c r="X431" s="42"/>
      <c r="Y431" s="42"/>
      <c r="Z431" s="42"/>
      <c r="AA431" s="44"/>
      <c r="AB431" s="44"/>
      <c r="AC431" s="44"/>
      <c r="AD431" s="42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</row>
    <row r="432" spans="1:55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26"/>
      <c r="M432" s="8"/>
      <c r="N432" s="8"/>
      <c r="O432" s="42"/>
      <c r="P432" s="42"/>
      <c r="Q432" s="42"/>
      <c r="R432" s="42"/>
      <c r="S432" s="42"/>
      <c r="T432" s="42"/>
      <c r="U432" s="42"/>
      <c r="V432" s="42"/>
      <c r="W432" s="44"/>
      <c r="X432" s="42"/>
      <c r="Y432" s="42"/>
      <c r="Z432" s="42"/>
      <c r="AA432" s="44"/>
      <c r="AB432" s="44"/>
      <c r="AC432" s="44"/>
      <c r="AD432" s="42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</row>
    <row r="433" spans="1:55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26"/>
      <c r="M433" s="8"/>
      <c r="N433" s="8"/>
      <c r="O433" s="42"/>
      <c r="P433" s="42"/>
      <c r="Q433" s="42"/>
      <c r="R433" s="42"/>
      <c r="S433" s="42"/>
      <c r="T433" s="42"/>
      <c r="U433" s="42"/>
      <c r="V433" s="42"/>
      <c r="W433" s="44"/>
      <c r="X433" s="42"/>
      <c r="Y433" s="42"/>
      <c r="Z433" s="42"/>
      <c r="AA433" s="44"/>
      <c r="AB433" s="44"/>
      <c r="AC433" s="44"/>
      <c r="AD433" s="42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</row>
    <row r="434" spans="1:55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26"/>
      <c r="M434" s="8"/>
      <c r="N434" s="8"/>
      <c r="O434" s="42"/>
      <c r="P434" s="42"/>
      <c r="Q434" s="42"/>
      <c r="R434" s="42"/>
      <c r="S434" s="42"/>
      <c r="T434" s="42"/>
      <c r="U434" s="42"/>
      <c r="V434" s="42"/>
      <c r="W434" s="44"/>
      <c r="X434" s="42"/>
      <c r="Y434" s="42"/>
      <c r="Z434" s="42"/>
      <c r="AA434" s="44"/>
      <c r="AB434" s="44"/>
      <c r="AC434" s="44"/>
      <c r="AD434" s="42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</row>
    <row r="435" spans="1:55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26"/>
      <c r="M435" s="8"/>
      <c r="N435" s="8"/>
      <c r="O435" s="42"/>
      <c r="P435" s="42"/>
      <c r="Q435" s="42"/>
      <c r="R435" s="42"/>
      <c r="S435" s="42"/>
      <c r="T435" s="42"/>
      <c r="U435" s="42"/>
      <c r="V435" s="42"/>
      <c r="W435" s="44"/>
      <c r="X435" s="42"/>
      <c r="Y435" s="42"/>
      <c r="Z435" s="42"/>
      <c r="AA435" s="44"/>
      <c r="AB435" s="44"/>
      <c r="AC435" s="44"/>
      <c r="AD435" s="42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</row>
    <row r="436" spans="1:55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26"/>
      <c r="M436" s="8"/>
      <c r="N436" s="8"/>
      <c r="O436" s="42"/>
      <c r="P436" s="42"/>
      <c r="Q436" s="42"/>
      <c r="R436" s="42"/>
      <c r="S436" s="42"/>
      <c r="T436" s="42"/>
      <c r="U436" s="42"/>
      <c r="V436" s="42"/>
      <c r="W436" s="44"/>
      <c r="X436" s="42"/>
      <c r="Y436" s="42"/>
      <c r="Z436" s="42"/>
      <c r="AA436" s="44"/>
      <c r="AB436" s="44"/>
      <c r="AC436" s="44"/>
      <c r="AD436" s="42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</row>
    <row r="437" spans="1:55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26"/>
      <c r="M437" s="8"/>
      <c r="N437" s="8"/>
      <c r="O437" s="42"/>
      <c r="P437" s="42"/>
      <c r="Q437" s="42"/>
      <c r="R437" s="42"/>
      <c r="S437" s="42"/>
      <c r="T437" s="42"/>
      <c r="U437" s="42"/>
      <c r="V437" s="42"/>
      <c r="W437" s="44"/>
      <c r="X437" s="42"/>
      <c r="Y437" s="42"/>
      <c r="Z437" s="42"/>
      <c r="AA437" s="44"/>
      <c r="AB437" s="44"/>
      <c r="AC437" s="44"/>
      <c r="AD437" s="42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</row>
    <row r="438" spans="1:55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26"/>
      <c r="M438" s="8"/>
      <c r="N438" s="8"/>
      <c r="O438" s="42"/>
      <c r="P438" s="42"/>
      <c r="Q438" s="42"/>
      <c r="R438" s="42"/>
      <c r="S438" s="42"/>
      <c r="T438" s="42"/>
      <c r="U438" s="42"/>
      <c r="V438" s="42"/>
      <c r="W438" s="44"/>
      <c r="X438" s="42"/>
      <c r="Y438" s="42"/>
      <c r="Z438" s="42"/>
      <c r="AA438" s="44"/>
      <c r="AB438" s="44"/>
      <c r="AC438" s="44"/>
      <c r="AD438" s="42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</row>
    <row r="439" spans="1:55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26"/>
      <c r="M439" s="8"/>
      <c r="N439" s="8"/>
      <c r="O439" s="42"/>
      <c r="P439" s="42"/>
      <c r="Q439" s="42"/>
      <c r="R439" s="42"/>
      <c r="S439" s="42"/>
      <c r="T439" s="42"/>
      <c r="U439" s="42"/>
      <c r="V439" s="42"/>
      <c r="W439" s="44"/>
      <c r="X439" s="42"/>
      <c r="Y439" s="42"/>
      <c r="Z439" s="42"/>
      <c r="AA439" s="44"/>
      <c r="AB439" s="44"/>
      <c r="AC439" s="44"/>
      <c r="AD439" s="42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</row>
    <row r="440" spans="1:55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26"/>
      <c r="M440" s="8"/>
      <c r="N440" s="8"/>
      <c r="O440" s="42"/>
      <c r="P440" s="42"/>
      <c r="Q440" s="42"/>
      <c r="R440" s="42"/>
      <c r="S440" s="42"/>
      <c r="T440" s="42"/>
      <c r="U440" s="42"/>
      <c r="V440" s="42"/>
      <c r="W440" s="44"/>
      <c r="X440" s="42"/>
      <c r="Y440" s="42"/>
      <c r="Z440" s="42"/>
      <c r="AA440" s="44"/>
      <c r="AB440" s="44"/>
      <c r="AC440" s="44"/>
      <c r="AD440" s="42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</row>
    <row r="441" spans="1:55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26"/>
      <c r="M441" s="8"/>
      <c r="N441" s="8"/>
      <c r="O441" s="42"/>
      <c r="P441" s="42"/>
      <c r="Q441" s="42"/>
      <c r="R441" s="42"/>
      <c r="S441" s="42"/>
      <c r="T441" s="42"/>
      <c r="U441" s="42"/>
      <c r="V441" s="42"/>
      <c r="W441" s="44"/>
      <c r="X441" s="42"/>
      <c r="Y441" s="42"/>
      <c r="Z441" s="42"/>
      <c r="AA441" s="44"/>
      <c r="AB441" s="44"/>
      <c r="AC441" s="44"/>
      <c r="AD441" s="42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</row>
    <row r="442" spans="1:55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26"/>
      <c r="M442" s="8"/>
      <c r="N442" s="8"/>
      <c r="O442" s="42"/>
      <c r="P442" s="42"/>
      <c r="Q442" s="42"/>
      <c r="R442" s="42"/>
      <c r="S442" s="42"/>
      <c r="T442" s="42"/>
      <c r="U442" s="42"/>
      <c r="V442" s="42"/>
      <c r="W442" s="44"/>
      <c r="X442" s="42"/>
      <c r="Y442" s="42"/>
      <c r="Z442" s="42"/>
      <c r="AA442" s="44"/>
      <c r="AB442" s="44"/>
      <c r="AC442" s="44"/>
      <c r="AD442" s="42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</row>
    <row r="443" spans="1:55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26"/>
      <c r="M443" s="8"/>
      <c r="N443" s="8"/>
      <c r="O443" s="42"/>
      <c r="P443" s="42"/>
      <c r="Q443" s="42"/>
      <c r="R443" s="42"/>
      <c r="S443" s="42"/>
      <c r="T443" s="42"/>
      <c r="U443" s="42"/>
      <c r="V443" s="42"/>
      <c r="W443" s="44"/>
      <c r="X443" s="42"/>
      <c r="Y443" s="42"/>
      <c r="Z443" s="42"/>
      <c r="AA443" s="44"/>
      <c r="AB443" s="44"/>
      <c r="AC443" s="44"/>
      <c r="AD443" s="42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</row>
    <row r="444" spans="1:55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26"/>
      <c r="M444" s="8"/>
      <c r="N444" s="8"/>
      <c r="O444" s="42"/>
      <c r="P444" s="42"/>
      <c r="Q444" s="42"/>
      <c r="R444" s="42"/>
      <c r="S444" s="42"/>
      <c r="T444" s="42"/>
      <c r="U444" s="42"/>
      <c r="V444" s="42"/>
      <c r="W444" s="44"/>
      <c r="X444" s="42"/>
      <c r="Y444" s="42"/>
      <c r="Z444" s="42"/>
      <c r="AA444" s="44"/>
      <c r="AB444" s="44"/>
      <c r="AC444" s="44"/>
      <c r="AD444" s="42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</row>
    <row r="445" spans="1:55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26"/>
      <c r="M445" s="8"/>
      <c r="N445" s="8"/>
      <c r="O445" s="42"/>
      <c r="P445" s="42"/>
      <c r="Q445" s="42"/>
      <c r="R445" s="42"/>
      <c r="S445" s="42"/>
      <c r="T445" s="42"/>
      <c r="U445" s="42"/>
      <c r="V445" s="42"/>
      <c r="W445" s="44"/>
      <c r="X445" s="42"/>
      <c r="Y445" s="42"/>
      <c r="Z445" s="42"/>
      <c r="AA445" s="44"/>
      <c r="AB445" s="44"/>
      <c r="AC445" s="44"/>
      <c r="AD445" s="42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</row>
    <row r="446" spans="1:55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26"/>
      <c r="M446" s="8"/>
      <c r="N446" s="8"/>
      <c r="O446" s="42"/>
      <c r="P446" s="42"/>
      <c r="Q446" s="42"/>
      <c r="R446" s="42"/>
      <c r="S446" s="42"/>
      <c r="T446" s="42"/>
      <c r="U446" s="42"/>
      <c r="V446" s="42"/>
      <c r="W446" s="44"/>
      <c r="X446" s="42"/>
      <c r="Y446" s="42"/>
      <c r="Z446" s="42"/>
      <c r="AA446" s="44"/>
      <c r="AB446" s="44"/>
      <c r="AC446" s="44"/>
      <c r="AD446" s="42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</row>
    <row r="447" spans="1:55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26"/>
      <c r="M447" s="8"/>
      <c r="N447" s="8"/>
      <c r="O447" s="42"/>
      <c r="P447" s="42"/>
      <c r="Q447" s="42"/>
      <c r="R447" s="42"/>
      <c r="S447" s="42"/>
      <c r="T447" s="42"/>
      <c r="U447" s="42"/>
      <c r="V447" s="42"/>
      <c r="W447" s="44"/>
      <c r="X447" s="42"/>
      <c r="Y447" s="42"/>
      <c r="Z447" s="42"/>
      <c r="AA447" s="44"/>
      <c r="AB447" s="44"/>
      <c r="AC447" s="44"/>
      <c r="AD447" s="42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</row>
    <row r="448" spans="1:55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26"/>
      <c r="M448" s="8"/>
      <c r="N448" s="8"/>
      <c r="O448" s="42"/>
      <c r="P448" s="42"/>
      <c r="Q448" s="42"/>
      <c r="R448" s="42"/>
      <c r="S448" s="42"/>
      <c r="T448" s="42"/>
      <c r="U448" s="42"/>
      <c r="V448" s="42"/>
      <c r="W448" s="44"/>
      <c r="X448" s="42"/>
      <c r="Y448" s="42"/>
      <c r="Z448" s="42"/>
      <c r="AA448" s="44"/>
      <c r="AB448" s="44"/>
      <c r="AC448" s="44"/>
      <c r="AD448" s="42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</row>
    <row r="449" spans="1:55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26"/>
      <c r="M449" s="8"/>
      <c r="N449" s="8"/>
      <c r="O449" s="42"/>
      <c r="P449" s="42"/>
      <c r="Q449" s="42"/>
      <c r="R449" s="42"/>
      <c r="S449" s="42"/>
      <c r="T449" s="42"/>
      <c r="U449" s="42"/>
      <c r="V449" s="42"/>
      <c r="W449" s="44"/>
      <c r="X449" s="42"/>
      <c r="Y449" s="42"/>
      <c r="Z449" s="42"/>
      <c r="AA449" s="44"/>
      <c r="AB449" s="44"/>
      <c r="AC449" s="44"/>
      <c r="AD449" s="42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</row>
    <row r="450" spans="1:55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26"/>
      <c r="M450" s="8"/>
      <c r="N450" s="8"/>
      <c r="O450" s="42"/>
      <c r="P450" s="42"/>
      <c r="Q450" s="42"/>
      <c r="R450" s="42"/>
      <c r="S450" s="42"/>
      <c r="T450" s="42"/>
      <c r="U450" s="42"/>
      <c r="V450" s="42"/>
      <c r="W450" s="44"/>
      <c r="X450" s="42"/>
      <c r="Y450" s="42"/>
      <c r="Z450" s="42"/>
      <c r="AA450" s="44"/>
      <c r="AB450" s="44"/>
      <c r="AC450" s="44"/>
      <c r="AD450" s="42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</row>
    <row r="451" spans="1:55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26"/>
      <c r="M451" s="8"/>
      <c r="N451" s="8"/>
      <c r="O451" s="42"/>
      <c r="P451" s="42"/>
      <c r="Q451" s="42"/>
      <c r="R451" s="42"/>
      <c r="S451" s="42"/>
      <c r="T451" s="42"/>
      <c r="U451" s="42"/>
      <c r="V451" s="42"/>
      <c r="W451" s="44"/>
      <c r="X451" s="42"/>
      <c r="Y451" s="42"/>
      <c r="Z451" s="42"/>
      <c r="AA451" s="44"/>
      <c r="AB451" s="44"/>
      <c r="AC451" s="44"/>
      <c r="AD451" s="42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</row>
    <row r="452" spans="1:55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26"/>
      <c r="M452" s="8"/>
      <c r="N452" s="8"/>
      <c r="O452" s="42"/>
      <c r="P452" s="42"/>
      <c r="Q452" s="42"/>
      <c r="R452" s="42"/>
      <c r="S452" s="42"/>
      <c r="T452" s="42"/>
      <c r="U452" s="42"/>
      <c r="V452" s="42"/>
      <c r="W452" s="44"/>
      <c r="X452" s="42"/>
      <c r="Y452" s="42"/>
      <c r="Z452" s="42"/>
      <c r="AA452" s="44"/>
      <c r="AB452" s="44"/>
      <c r="AC452" s="44"/>
      <c r="AD452" s="42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</row>
    <row r="453" spans="1:55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26"/>
      <c r="M453" s="8"/>
      <c r="N453" s="8"/>
      <c r="O453" s="42"/>
      <c r="P453" s="42"/>
      <c r="Q453" s="42"/>
      <c r="R453" s="42"/>
      <c r="S453" s="42"/>
      <c r="T453" s="42"/>
      <c r="U453" s="42"/>
      <c r="V453" s="42"/>
      <c r="W453" s="44"/>
      <c r="X453" s="42"/>
      <c r="Y453" s="42"/>
      <c r="Z453" s="42"/>
      <c r="AA453" s="44"/>
      <c r="AB453" s="44"/>
      <c r="AC453" s="44"/>
      <c r="AD453" s="42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</row>
    <row r="454" spans="1:55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26"/>
      <c r="M454" s="8"/>
      <c r="N454" s="8"/>
      <c r="O454" s="42"/>
      <c r="P454" s="42"/>
      <c r="Q454" s="42"/>
      <c r="R454" s="42"/>
      <c r="S454" s="42"/>
      <c r="T454" s="42"/>
      <c r="U454" s="42"/>
      <c r="V454" s="42"/>
      <c r="W454" s="44"/>
      <c r="X454" s="42"/>
      <c r="Y454" s="42"/>
      <c r="Z454" s="42"/>
      <c r="AA454" s="44"/>
      <c r="AB454" s="44"/>
      <c r="AC454" s="44"/>
      <c r="AD454" s="42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</row>
    <row r="455" spans="1:55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26"/>
      <c r="M455" s="8"/>
      <c r="N455" s="8"/>
      <c r="O455" s="42"/>
      <c r="P455" s="42"/>
      <c r="Q455" s="42"/>
      <c r="R455" s="42"/>
      <c r="S455" s="42"/>
      <c r="T455" s="42"/>
      <c r="U455" s="42"/>
      <c r="V455" s="42"/>
      <c r="W455" s="44"/>
      <c r="X455" s="42"/>
      <c r="Y455" s="42"/>
      <c r="Z455" s="42"/>
      <c r="AA455" s="44"/>
      <c r="AB455" s="44"/>
      <c r="AC455" s="44"/>
      <c r="AD455" s="42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</row>
    <row r="456" spans="1:55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26"/>
      <c r="M456" s="8"/>
      <c r="N456" s="8"/>
      <c r="O456" s="42"/>
      <c r="P456" s="42"/>
      <c r="Q456" s="42"/>
      <c r="R456" s="42"/>
      <c r="S456" s="42"/>
      <c r="T456" s="42"/>
      <c r="U456" s="42"/>
      <c r="V456" s="42"/>
      <c r="W456" s="44"/>
      <c r="X456" s="42"/>
      <c r="Y456" s="42"/>
      <c r="Z456" s="42"/>
      <c r="AA456" s="44"/>
      <c r="AB456" s="44"/>
      <c r="AC456" s="44"/>
      <c r="AD456" s="42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</row>
    <row r="457" spans="1:55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26"/>
      <c r="M457" s="8"/>
      <c r="N457" s="8"/>
      <c r="O457" s="42"/>
      <c r="P457" s="42"/>
      <c r="Q457" s="42"/>
      <c r="R457" s="42"/>
      <c r="S457" s="42"/>
      <c r="T457" s="42"/>
      <c r="U457" s="42"/>
      <c r="V457" s="42"/>
      <c r="W457" s="44"/>
      <c r="X457" s="42"/>
      <c r="Y457" s="42"/>
      <c r="Z457" s="42"/>
      <c r="AA457" s="44"/>
      <c r="AB457" s="44"/>
      <c r="AC457" s="44"/>
      <c r="AD457" s="42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</row>
    <row r="458" spans="1:55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26"/>
      <c r="M458" s="8"/>
      <c r="N458" s="8"/>
      <c r="O458" s="42"/>
      <c r="P458" s="42"/>
      <c r="Q458" s="42"/>
      <c r="R458" s="42"/>
      <c r="S458" s="42"/>
      <c r="T458" s="42"/>
      <c r="U458" s="42"/>
      <c r="V458" s="42"/>
      <c r="W458" s="44"/>
      <c r="X458" s="42"/>
      <c r="Y458" s="42"/>
      <c r="Z458" s="42"/>
      <c r="AA458" s="44"/>
      <c r="AB458" s="44"/>
      <c r="AC458" s="44"/>
      <c r="AD458" s="42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</row>
    <row r="459" spans="1:55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26"/>
      <c r="M459" s="8"/>
      <c r="N459" s="8"/>
      <c r="O459" s="42"/>
      <c r="P459" s="42"/>
      <c r="Q459" s="42"/>
      <c r="R459" s="42"/>
      <c r="S459" s="42"/>
      <c r="T459" s="42"/>
      <c r="U459" s="42"/>
      <c r="V459" s="42"/>
      <c r="W459" s="44"/>
      <c r="X459" s="42"/>
      <c r="Y459" s="42"/>
      <c r="Z459" s="42"/>
      <c r="AA459" s="44"/>
      <c r="AB459" s="44"/>
      <c r="AC459" s="44"/>
      <c r="AD459" s="42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</row>
    <row r="460" spans="1:55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26"/>
      <c r="M460" s="8"/>
      <c r="N460" s="8"/>
      <c r="O460" s="42"/>
      <c r="P460" s="42"/>
      <c r="Q460" s="42"/>
      <c r="R460" s="42"/>
      <c r="S460" s="42"/>
      <c r="T460" s="42"/>
      <c r="U460" s="42"/>
      <c r="V460" s="42"/>
      <c r="W460" s="44"/>
      <c r="X460" s="42"/>
      <c r="Y460" s="42"/>
      <c r="Z460" s="42"/>
      <c r="AA460" s="44"/>
      <c r="AB460" s="44"/>
      <c r="AC460" s="44"/>
      <c r="AD460" s="42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</row>
    <row r="461" spans="1:55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26"/>
      <c r="M461" s="8"/>
      <c r="N461" s="8"/>
      <c r="O461" s="42"/>
      <c r="P461" s="42"/>
      <c r="Q461" s="42"/>
      <c r="R461" s="42"/>
      <c r="S461" s="42"/>
      <c r="T461" s="42"/>
      <c r="U461" s="42"/>
      <c r="V461" s="42"/>
      <c r="W461" s="44"/>
      <c r="X461" s="42"/>
      <c r="Y461" s="42"/>
      <c r="Z461" s="42"/>
      <c r="AA461" s="44"/>
      <c r="AB461" s="44"/>
      <c r="AC461" s="44"/>
      <c r="AD461" s="42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</row>
    <row r="462" spans="1:55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26"/>
      <c r="M462" s="8"/>
      <c r="N462" s="8"/>
      <c r="O462" s="42"/>
      <c r="P462" s="42"/>
      <c r="Q462" s="42"/>
      <c r="R462" s="42"/>
      <c r="S462" s="42"/>
      <c r="T462" s="42"/>
      <c r="U462" s="42"/>
      <c r="V462" s="42"/>
      <c r="W462" s="44"/>
      <c r="X462" s="42"/>
      <c r="Y462" s="42"/>
      <c r="Z462" s="42"/>
      <c r="AA462" s="44"/>
      <c r="AB462" s="44"/>
      <c r="AC462" s="44"/>
      <c r="AD462" s="42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</row>
    <row r="463" spans="1:55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26"/>
      <c r="M463" s="8"/>
      <c r="N463" s="8"/>
      <c r="O463" s="42"/>
      <c r="P463" s="42"/>
      <c r="Q463" s="42"/>
      <c r="R463" s="42"/>
      <c r="S463" s="42"/>
      <c r="T463" s="42"/>
      <c r="U463" s="42"/>
      <c r="V463" s="42"/>
      <c r="W463" s="44"/>
      <c r="X463" s="42"/>
      <c r="Y463" s="42"/>
      <c r="Z463" s="42"/>
      <c r="AA463" s="44"/>
      <c r="AB463" s="44"/>
      <c r="AC463" s="44"/>
      <c r="AD463" s="42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</row>
    <row r="464" spans="1:55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26"/>
      <c r="M464" s="8"/>
      <c r="N464" s="8"/>
      <c r="O464" s="42"/>
      <c r="P464" s="42"/>
      <c r="Q464" s="42"/>
      <c r="R464" s="42"/>
      <c r="S464" s="42"/>
      <c r="T464" s="42"/>
      <c r="U464" s="42"/>
      <c r="V464" s="42"/>
      <c r="W464" s="44"/>
      <c r="X464" s="42"/>
      <c r="Y464" s="42"/>
      <c r="Z464" s="42"/>
      <c r="AA464" s="44"/>
      <c r="AB464" s="44"/>
      <c r="AC464" s="44"/>
      <c r="AD464" s="42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</row>
    <row r="465" spans="1:55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26"/>
      <c r="M465" s="8"/>
      <c r="N465" s="8"/>
      <c r="O465" s="42"/>
      <c r="P465" s="42"/>
      <c r="Q465" s="42"/>
      <c r="R465" s="42"/>
      <c r="S465" s="42"/>
      <c r="T465" s="42"/>
      <c r="U465" s="42"/>
      <c r="V465" s="42"/>
      <c r="W465" s="44"/>
      <c r="X465" s="42"/>
      <c r="Y465" s="42"/>
      <c r="Z465" s="42"/>
      <c r="AA465" s="44"/>
      <c r="AB465" s="44"/>
      <c r="AC465" s="44"/>
      <c r="AD465" s="42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</row>
    <row r="466" spans="1:55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26"/>
      <c r="M466" s="8"/>
      <c r="N466" s="8"/>
      <c r="O466" s="42"/>
      <c r="P466" s="42"/>
      <c r="Q466" s="42"/>
      <c r="R466" s="42"/>
      <c r="S466" s="42"/>
      <c r="T466" s="42"/>
      <c r="U466" s="42"/>
      <c r="V466" s="42"/>
      <c r="W466" s="44"/>
      <c r="X466" s="42"/>
      <c r="Y466" s="42"/>
      <c r="Z466" s="42"/>
      <c r="AA466" s="44"/>
      <c r="AB466" s="44"/>
      <c r="AC466" s="44"/>
      <c r="AD466" s="42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</row>
    <row r="467" spans="1:55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26"/>
      <c r="M467" s="8"/>
      <c r="N467" s="8"/>
      <c r="O467" s="42"/>
      <c r="P467" s="42"/>
      <c r="Q467" s="42"/>
      <c r="R467" s="42"/>
      <c r="S467" s="42"/>
      <c r="T467" s="42"/>
      <c r="U467" s="42"/>
      <c r="V467" s="42"/>
      <c r="W467" s="44"/>
      <c r="X467" s="42"/>
      <c r="Y467" s="42"/>
      <c r="Z467" s="42"/>
      <c r="AA467" s="44"/>
      <c r="AB467" s="44"/>
      <c r="AC467" s="44"/>
      <c r="AD467" s="42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</row>
    <row r="468" spans="1:55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26"/>
      <c r="M468" s="8"/>
      <c r="N468" s="8"/>
      <c r="O468" s="42"/>
      <c r="P468" s="42"/>
      <c r="Q468" s="42"/>
      <c r="R468" s="42"/>
      <c r="S468" s="42"/>
      <c r="T468" s="42"/>
      <c r="U468" s="42"/>
      <c r="V468" s="42"/>
      <c r="W468" s="44"/>
      <c r="X468" s="42"/>
      <c r="Y468" s="42"/>
      <c r="Z468" s="42"/>
      <c r="AA468" s="44"/>
      <c r="AB468" s="44"/>
      <c r="AC468" s="44"/>
      <c r="AD468" s="42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</row>
    <row r="469" spans="1:55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26"/>
      <c r="M469" s="8"/>
      <c r="N469" s="8"/>
      <c r="O469" s="42"/>
      <c r="P469" s="42"/>
      <c r="Q469" s="42"/>
      <c r="R469" s="42"/>
      <c r="S469" s="42"/>
      <c r="T469" s="42"/>
      <c r="U469" s="42"/>
      <c r="V469" s="42"/>
      <c r="W469" s="44"/>
      <c r="X469" s="42"/>
      <c r="Y469" s="42"/>
      <c r="Z469" s="42"/>
      <c r="AA469" s="44"/>
      <c r="AB469" s="44"/>
      <c r="AC469" s="44"/>
      <c r="AD469" s="42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</row>
    <row r="470" spans="1:55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26"/>
      <c r="M470" s="8"/>
      <c r="N470" s="8"/>
      <c r="O470" s="42"/>
      <c r="P470" s="42"/>
      <c r="Q470" s="42"/>
      <c r="R470" s="42"/>
      <c r="S470" s="42"/>
      <c r="T470" s="42"/>
      <c r="U470" s="42"/>
      <c r="V470" s="42"/>
      <c r="W470" s="44"/>
      <c r="X470" s="42"/>
      <c r="Y470" s="42"/>
      <c r="Z470" s="42"/>
      <c r="AA470" s="44"/>
      <c r="AB470" s="44"/>
      <c r="AC470" s="44"/>
      <c r="AD470" s="42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</row>
    <row r="471" spans="1:55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26"/>
      <c r="M471" s="8"/>
      <c r="N471" s="8"/>
      <c r="O471" s="42"/>
      <c r="P471" s="42"/>
      <c r="Q471" s="42"/>
      <c r="R471" s="42"/>
      <c r="S471" s="42"/>
      <c r="T471" s="42"/>
      <c r="U471" s="42"/>
      <c r="V471" s="42"/>
      <c r="W471" s="44"/>
      <c r="X471" s="42"/>
      <c r="Y471" s="42"/>
      <c r="Z471" s="42"/>
      <c r="AA471" s="44"/>
      <c r="AB471" s="44"/>
      <c r="AC471" s="44"/>
      <c r="AD471" s="42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</row>
    <row r="472" spans="1:55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26"/>
      <c r="M472" s="8"/>
      <c r="N472" s="8"/>
      <c r="O472" s="42"/>
      <c r="P472" s="42"/>
      <c r="Q472" s="42"/>
      <c r="R472" s="42"/>
      <c r="S472" s="42"/>
      <c r="T472" s="42"/>
      <c r="U472" s="42"/>
      <c r="V472" s="42"/>
      <c r="W472" s="44"/>
      <c r="X472" s="42"/>
      <c r="Y472" s="42"/>
      <c r="Z472" s="42"/>
      <c r="AA472" s="44"/>
      <c r="AB472" s="44"/>
      <c r="AC472" s="44"/>
      <c r="AD472" s="42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</row>
    <row r="473" spans="1:55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26"/>
      <c r="M473" s="8"/>
      <c r="N473" s="8"/>
      <c r="O473" s="42"/>
      <c r="P473" s="42"/>
      <c r="Q473" s="42"/>
      <c r="R473" s="42"/>
      <c r="S473" s="42"/>
      <c r="T473" s="42"/>
      <c r="U473" s="42"/>
      <c r="V473" s="42"/>
      <c r="W473" s="44"/>
      <c r="X473" s="42"/>
      <c r="Y473" s="42"/>
      <c r="Z473" s="42"/>
      <c r="AA473" s="44"/>
      <c r="AB473" s="44"/>
      <c r="AC473" s="44"/>
      <c r="AD473" s="42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</row>
    <row r="474" spans="1:55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26"/>
      <c r="M474" s="8"/>
      <c r="N474" s="8"/>
      <c r="O474" s="42"/>
      <c r="P474" s="42"/>
      <c r="Q474" s="42"/>
      <c r="R474" s="42"/>
      <c r="S474" s="42"/>
      <c r="T474" s="42"/>
      <c r="U474" s="42"/>
      <c r="V474" s="42"/>
      <c r="W474" s="44"/>
      <c r="X474" s="42"/>
      <c r="Y474" s="42"/>
      <c r="Z474" s="42"/>
      <c r="AA474" s="44"/>
      <c r="AB474" s="44"/>
      <c r="AC474" s="44"/>
      <c r="AD474" s="42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</row>
    <row r="475" spans="1:55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26"/>
      <c r="M475" s="8"/>
      <c r="N475" s="8"/>
      <c r="O475" s="42"/>
      <c r="P475" s="42"/>
      <c r="Q475" s="42"/>
      <c r="R475" s="42"/>
      <c r="S475" s="42"/>
      <c r="T475" s="42"/>
      <c r="U475" s="42"/>
      <c r="V475" s="42"/>
      <c r="W475" s="44"/>
      <c r="X475" s="42"/>
      <c r="Y475" s="42"/>
      <c r="Z475" s="42"/>
      <c r="AA475" s="44"/>
      <c r="AB475" s="44"/>
      <c r="AC475" s="44"/>
      <c r="AD475" s="42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</row>
    <row r="476" spans="1:55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26"/>
      <c r="M476" s="8"/>
      <c r="N476" s="8"/>
      <c r="O476" s="42"/>
      <c r="P476" s="42"/>
      <c r="Q476" s="42"/>
      <c r="R476" s="42"/>
      <c r="S476" s="42"/>
      <c r="T476" s="42"/>
      <c r="U476" s="42"/>
      <c r="V476" s="42"/>
      <c r="W476" s="44"/>
      <c r="X476" s="42"/>
      <c r="Y476" s="42"/>
      <c r="Z476" s="42"/>
      <c r="AA476" s="44"/>
      <c r="AB476" s="44"/>
      <c r="AC476" s="44"/>
      <c r="AD476" s="42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</row>
    <row r="477" spans="1:55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26"/>
      <c r="M477" s="8"/>
      <c r="N477" s="8"/>
      <c r="O477" s="42"/>
      <c r="P477" s="42"/>
      <c r="Q477" s="42"/>
      <c r="R477" s="42"/>
      <c r="S477" s="42"/>
      <c r="T477" s="42"/>
      <c r="U477" s="42"/>
      <c r="V477" s="42"/>
      <c r="W477" s="44"/>
      <c r="X477" s="42"/>
      <c r="Y477" s="42"/>
      <c r="Z477" s="42"/>
      <c r="AA477" s="44"/>
      <c r="AB477" s="44"/>
      <c r="AC477" s="44"/>
      <c r="AD477" s="42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</row>
    <row r="478" spans="1:55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26"/>
      <c r="M478" s="8"/>
      <c r="N478" s="8"/>
      <c r="O478" s="42"/>
      <c r="P478" s="42"/>
      <c r="Q478" s="42"/>
      <c r="R478" s="42"/>
      <c r="S478" s="42"/>
      <c r="T478" s="42"/>
      <c r="U478" s="42"/>
      <c r="V478" s="42"/>
      <c r="W478" s="44"/>
      <c r="X478" s="42"/>
      <c r="Y478" s="42"/>
      <c r="Z478" s="42"/>
      <c r="AA478" s="44"/>
      <c r="AB478" s="44"/>
      <c r="AC478" s="44"/>
      <c r="AD478" s="42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</row>
    <row r="479" spans="1:55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26"/>
      <c r="M479" s="8"/>
      <c r="N479" s="8"/>
      <c r="O479" s="42"/>
      <c r="P479" s="42"/>
      <c r="Q479" s="42"/>
      <c r="R479" s="42"/>
      <c r="S479" s="42"/>
      <c r="T479" s="42"/>
      <c r="U479" s="42"/>
      <c r="V479" s="42"/>
      <c r="W479" s="44"/>
      <c r="X479" s="42"/>
      <c r="Y479" s="42"/>
      <c r="Z479" s="42"/>
      <c r="AA479" s="44"/>
      <c r="AB479" s="44"/>
      <c r="AC479" s="44"/>
      <c r="AD479" s="42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</row>
    <row r="480" spans="1:55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26"/>
      <c r="M480" s="8"/>
      <c r="N480" s="8"/>
      <c r="O480" s="42"/>
      <c r="P480" s="42"/>
      <c r="Q480" s="42"/>
      <c r="R480" s="42"/>
      <c r="S480" s="42"/>
      <c r="T480" s="42"/>
      <c r="U480" s="42"/>
      <c r="V480" s="42"/>
      <c r="W480" s="44"/>
      <c r="X480" s="42"/>
      <c r="Y480" s="42"/>
      <c r="Z480" s="42"/>
      <c r="AA480" s="44"/>
      <c r="AB480" s="44"/>
      <c r="AC480" s="44"/>
      <c r="AD480" s="42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</row>
    <row r="481" spans="1:55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26"/>
      <c r="M481" s="8"/>
      <c r="N481" s="8"/>
      <c r="O481" s="42"/>
      <c r="P481" s="42"/>
      <c r="Q481" s="42"/>
      <c r="R481" s="42"/>
      <c r="S481" s="42"/>
      <c r="T481" s="42"/>
      <c r="U481" s="42"/>
      <c r="V481" s="42"/>
      <c r="W481" s="44"/>
      <c r="X481" s="42"/>
      <c r="Y481" s="42"/>
      <c r="Z481" s="42"/>
      <c r="AA481" s="44"/>
      <c r="AB481" s="44"/>
      <c r="AC481" s="44"/>
      <c r="AD481" s="42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</row>
    <row r="482" spans="1:55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26"/>
      <c r="M482" s="8"/>
      <c r="N482" s="8"/>
      <c r="O482" s="42"/>
      <c r="P482" s="42"/>
      <c r="Q482" s="42"/>
      <c r="R482" s="42"/>
      <c r="S482" s="42"/>
      <c r="T482" s="42"/>
      <c r="U482" s="42"/>
      <c r="V482" s="42"/>
      <c r="W482" s="44"/>
      <c r="X482" s="42"/>
      <c r="Y482" s="42"/>
      <c r="Z482" s="42"/>
      <c r="AA482" s="44"/>
      <c r="AB482" s="44"/>
      <c r="AC482" s="44"/>
      <c r="AD482" s="42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</row>
    <row r="483" spans="1:55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26"/>
      <c r="M483" s="8"/>
      <c r="N483" s="8"/>
      <c r="O483" s="42"/>
      <c r="P483" s="42"/>
      <c r="Q483" s="42"/>
      <c r="R483" s="42"/>
      <c r="S483" s="42"/>
      <c r="T483" s="42"/>
      <c r="U483" s="42"/>
      <c r="V483" s="42"/>
      <c r="W483" s="44"/>
      <c r="X483" s="42"/>
      <c r="Y483" s="42"/>
      <c r="Z483" s="42"/>
      <c r="AA483" s="44"/>
      <c r="AB483" s="44"/>
      <c r="AC483" s="44"/>
      <c r="AD483" s="42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</row>
    <row r="484" spans="1:55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26"/>
      <c r="M484" s="8"/>
      <c r="N484" s="8"/>
      <c r="O484" s="42"/>
      <c r="P484" s="42"/>
      <c r="Q484" s="42"/>
      <c r="R484" s="42"/>
      <c r="S484" s="42"/>
      <c r="T484" s="42"/>
      <c r="U484" s="42"/>
      <c r="V484" s="42"/>
      <c r="W484" s="44"/>
      <c r="X484" s="42"/>
      <c r="Y484" s="42"/>
      <c r="Z484" s="42"/>
      <c r="AA484" s="44"/>
      <c r="AB484" s="44"/>
      <c r="AC484" s="44"/>
      <c r="AD484" s="42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</row>
    <row r="485" spans="1:55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26"/>
      <c r="M485" s="8"/>
      <c r="N485" s="8"/>
      <c r="O485" s="42"/>
      <c r="P485" s="42"/>
      <c r="Q485" s="42"/>
      <c r="R485" s="42"/>
      <c r="S485" s="42"/>
      <c r="T485" s="42"/>
      <c r="U485" s="42"/>
      <c r="V485" s="42"/>
      <c r="W485" s="44"/>
      <c r="X485" s="42"/>
      <c r="Y485" s="42"/>
      <c r="Z485" s="42"/>
      <c r="AA485" s="44"/>
      <c r="AB485" s="44"/>
      <c r="AC485" s="44"/>
      <c r="AD485" s="42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</row>
    <row r="486" spans="1:55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26"/>
      <c r="M486" s="8"/>
      <c r="N486" s="8"/>
      <c r="O486" s="42"/>
      <c r="P486" s="42"/>
      <c r="Q486" s="42"/>
      <c r="R486" s="42"/>
      <c r="S486" s="42"/>
      <c r="T486" s="42"/>
      <c r="U486" s="42"/>
      <c r="V486" s="42"/>
      <c r="W486" s="44"/>
      <c r="X486" s="42"/>
      <c r="Y486" s="42"/>
      <c r="Z486" s="42"/>
      <c r="AA486" s="44"/>
      <c r="AB486" s="44"/>
      <c r="AC486" s="44"/>
      <c r="AD486" s="42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</row>
    <row r="487" spans="1:55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26"/>
      <c r="M487" s="8"/>
      <c r="N487" s="8"/>
      <c r="O487" s="42"/>
      <c r="P487" s="42"/>
      <c r="Q487" s="42"/>
      <c r="R487" s="42"/>
      <c r="S487" s="42"/>
      <c r="T487" s="42"/>
      <c r="U487" s="42"/>
      <c r="V487" s="42"/>
      <c r="W487" s="44"/>
      <c r="X487" s="42"/>
      <c r="Y487" s="42"/>
      <c r="Z487" s="42"/>
      <c r="AA487" s="44"/>
      <c r="AB487" s="44"/>
      <c r="AC487" s="44"/>
      <c r="AD487" s="42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</row>
    <row r="488" spans="1:55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26"/>
      <c r="M488" s="8"/>
      <c r="N488" s="8"/>
      <c r="O488" s="42"/>
      <c r="P488" s="42"/>
      <c r="Q488" s="42"/>
      <c r="R488" s="42"/>
      <c r="S488" s="42"/>
      <c r="T488" s="42"/>
      <c r="U488" s="42"/>
      <c r="V488" s="42"/>
      <c r="W488" s="44"/>
      <c r="X488" s="42"/>
      <c r="Y488" s="42"/>
      <c r="Z488" s="42"/>
      <c r="AA488" s="44"/>
      <c r="AB488" s="44"/>
      <c r="AC488" s="44"/>
      <c r="AD488" s="42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</row>
    <row r="489" spans="1:55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26"/>
      <c r="M489" s="8"/>
      <c r="N489" s="8"/>
      <c r="O489" s="42"/>
      <c r="P489" s="42"/>
      <c r="Q489" s="42"/>
      <c r="R489" s="42"/>
      <c r="S489" s="42"/>
      <c r="T489" s="42"/>
      <c r="U489" s="42"/>
      <c r="V489" s="42"/>
      <c r="W489" s="44"/>
      <c r="X489" s="42"/>
      <c r="Y489" s="42"/>
      <c r="Z489" s="42"/>
      <c r="AA489" s="44"/>
      <c r="AB489" s="44"/>
      <c r="AC489" s="44"/>
      <c r="AD489" s="42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</row>
    <row r="490" spans="1:55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26"/>
      <c r="M490" s="8"/>
      <c r="N490" s="8"/>
      <c r="O490" s="42"/>
      <c r="P490" s="42"/>
      <c r="Q490" s="42"/>
      <c r="R490" s="42"/>
      <c r="S490" s="42"/>
      <c r="T490" s="42"/>
      <c r="U490" s="42"/>
      <c r="V490" s="42"/>
      <c r="W490" s="44"/>
      <c r="X490" s="42"/>
      <c r="Y490" s="42"/>
      <c r="Z490" s="42"/>
      <c r="AA490" s="44"/>
      <c r="AB490" s="44"/>
      <c r="AC490" s="44"/>
      <c r="AD490" s="42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</row>
    <row r="491" spans="1:55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26"/>
      <c r="M491" s="8"/>
      <c r="N491" s="8"/>
      <c r="O491" s="42"/>
      <c r="P491" s="42"/>
      <c r="Q491" s="42"/>
      <c r="R491" s="42"/>
      <c r="S491" s="42"/>
      <c r="T491" s="42"/>
      <c r="U491" s="42"/>
      <c r="V491" s="42"/>
      <c r="W491" s="44"/>
      <c r="X491" s="42"/>
      <c r="Y491" s="42"/>
      <c r="Z491" s="42"/>
      <c r="AA491" s="44"/>
      <c r="AB491" s="44"/>
      <c r="AC491" s="44"/>
      <c r="AD491" s="42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</row>
    <row r="492" spans="1:55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26"/>
      <c r="M492" s="8"/>
      <c r="N492" s="8"/>
      <c r="O492" s="42"/>
      <c r="P492" s="42"/>
      <c r="Q492" s="42"/>
      <c r="R492" s="42"/>
      <c r="S492" s="42"/>
      <c r="T492" s="42"/>
      <c r="U492" s="42"/>
      <c r="V492" s="42"/>
      <c r="W492" s="44"/>
      <c r="X492" s="42"/>
      <c r="Y492" s="42"/>
      <c r="Z492" s="42"/>
      <c r="AA492" s="44"/>
      <c r="AB492" s="44"/>
      <c r="AC492" s="44"/>
      <c r="AD492" s="42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</row>
    <row r="493" spans="1:55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26"/>
      <c r="M493" s="8"/>
      <c r="N493" s="8"/>
      <c r="O493" s="42"/>
      <c r="P493" s="42"/>
      <c r="Q493" s="42"/>
      <c r="R493" s="42"/>
      <c r="S493" s="42"/>
      <c r="T493" s="42"/>
      <c r="U493" s="42"/>
      <c r="V493" s="42"/>
      <c r="W493" s="44"/>
      <c r="X493" s="42"/>
      <c r="Y493" s="42"/>
      <c r="Z493" s="42"/>
      <c r="AA493" s="44"/>
      <c r="AB493" s="44"/>
      <c r="AC493" s="44"/>
      <c r="AD493" s="42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</row>
    <row r="494" spans="1:55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26"/>
      <c r="M494" s="8"/>
      <c r="N494" s="8"/>
      <c r="O494" s="42"/>
      <c r="P494" s="42"/>
      <c r="Q494" s="42"/>
      <c r="R494" s="42"/>
      <c r="S494" s="42"/>
      <c r="T494" s="42"/>
      <c r="U494" s="42"/>
      <c r="V494" s="42"/>
      <c r="W494" s="44"/>
      <c r="X494" s="42"/>
      <c r="Y494" s="42"/>
      <c r="Z494" s="42"/>
      <c r="AA494" s="44"/>
      <c r="AB494" s="44"/>
      <c r="AC494" s="44"/>
      <c r="AD494" s="42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</row>
    <row r="495" spans="1:55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26"/>
      <c r="M495" s="8"/>
      <c r="N495" s="8"/>
      <c r="O495" s="42"/>
      <c r="P495" s="42"/>
      <c r="Q495" s="42"/>
      <c r="R495" s="42"/>
      <c r="S495" s="42"/>
      <c r="T495" s="42"/>
      <c r="U495" s="42"/>
      <c r="V495" s="42"/>
      <c r="W495" s="44"/>
      <c r="X495" s="42"/>
      <c r="Y495" s="42"/>
      <c r="Z495" s="42"/>
      <c r="AA495" s="44"/>
      <c r="AB495" s="44"/>
      <c r="AC495" s="44"/>
      <c r="AD495" s="42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</row>
    <row r="496" spans="1:55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26"/>
      <c r="M496" s="8"/>
      <c r="N496" s="8"/>
      <c r="O496" s="42"/>
      <c r="P496" s="42"/>
      <c r="Q496" s="42"/>
      <c r="R496" s="42"/>
      <c r="S496" s="42"/>
      <c r="T496" s="42"/>
      <c r="U496" s="42"/>
      <c r="V496" s="42"/>
      <c r="W496" s="44"/>
      <c r="X496" s="42"/>
      <c r="Y496" s="42"/>
      <c r="Z496" s="42"/>
      <c r="AA496" s="44"/>
      <c r="AB496" s="44"/>
      <c r="AC496" s="44"/>
      <c r="AD496" s="42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</row>
    <row r="497" spans="1:55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26"/>
      <c r="M497" s="8"/>
      <c r="N497" s="8"/>
      <c r="O497" s="42"/>
      <c r="P497" s="42"/>
      <c r="Q497" s="42"/>
      <c r="R497" s="42"/>
      <c r="S497" s="42"/>
      <c r="T497" s="42"/>
      <c r="U497" s="42"/>
      <c r="V497" s="42"/>
      <c r="W497" s="44"/>
      <c r="X497" s="42"/>
      <c r="Y497" s="42"/>
      <c r="Z497" s="42"/>
      <c r="AA497" s="44"/>
      <c r="AB497" s="44"/>
      <c r="AC497" s="44"/>
      <c r="AD497" s="42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</row>
    <row r="498" spans="1:55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26"/>
      <c r="M498" s="8"/>
      <c r="N498" s="8"/>
      <c r="O498" s="42"/>
      <c r="P498" s="42"/>
      <c r="Q498" s="42"/>
      <c r="R498" s="42"/>
      <c r="S498" s="42"/>
      <c r="T498" s="42"/>
      <c r="U498" s="42"/>
      <c r="V498" s="42"/>
      <c r="W498" s="44"/>
      <c r="X498" s="42"/>
      <c r="Y498" s="42"/>
      <c r="Z498" s="42"/>
      <c r="AA498" s="44"/>
      <c r="AB498" s="44"/>
      <c r="AC498" s="44"/>
      <c r="AD498" s="42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</row>
    <row r="499" spans="1:55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26"/>
      <c r="M499" s="8"/>
      <c r="N499" s="8"/>
      <c r="O499" s="42"/>
      <c r="P499" s="42"/>
      <c r="Q499" s="42"/>
      <c r="R499" s="42"/>
      <c r="S499" s="42"/>
      <c r="T499" s="42"/>
      <c r="U499" s="42"/>
      <c r="V499" s="42"/>
      <c r="W499" s="44"/>
      <c r="X499" s="42"/>
      <c r="Y499" s="42"/>
      <c r="Z499" s="42"/>
      <c r="AA499" s="44"/>
      <c r="AB499" s="44"/>
      <c r="AC499" s="44"/>
      <c r="AD499" s="42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</row>
    <row r="500" spans="1:55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26"/>
      <c r="M500" s="8"/>
      <c r="N500" s="8"/>
      <c r="O500" s="42"/>
      <c r="P500" s="42"/>
      <c r="Q500" s="42"/>
      <c r="R500" s="42"/>
      <c r="S500" s="42"/>
      <c r="T500" s="42"/>
      <c r="U500" s="42"/>
      <c r="V500" s="42"/>
      <c r="W500" s="44"/>
      <c r="X500" s="42"/>
      <c r="Y500" s="42"/>
      <c r="Z500" s="42"/>
      <c r="AA500" s="44"/>
      <c r="AB500" s="44"/>
      <c r="AC500" s="44"/>
      <c r="AD500" s="42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</row>
    <row r="501" spans="1:55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26"/>
      <c r="M501" s="8"/>
      <c r="N501" s="8"/>
      <c r="O501" s="42"/>
      <c r="P501" s="42"/>
      <c r="Q501" s="42"/>
      <c r="R501" s="42"/>
      <c r="S501" s="42"/>
      <c r="T501" s="42"/>
      <c r="U501" s="42"/>
      <c r="V501" s="42"/>
      <c r="W501" s="44"/>
      <c r="X501" s="42"/>
      <c r="Y501" s="42"/>
      <c r="Z501" s="42"/>
      <c r="AA501" s="44"/>
      <c r="AB501" s="44"/>
      <c r="AC501" s="44"/>
      <c r="AD501" s="42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</row>
    <row r="502" spans="1:55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26"/>
      <c r="M502" s="8"/>
      <c r="N502" s="8"/>
      <c r="O502" s="42"/>
      <c r="P502" s="42"/>
      <c r="Q502" s="42"/>
      <c r="R502" s="42"/>
      <c r="S502" s="42"/>
      <c r="T502" s="42"/>
      <c r="U502" s="42"/>
      <c r="V502" s="42"/>
      <c r="W502" s="44"/>
      <c r="X502" s="42"/>
      <c r="Y502" s="42"/>
      <c r="Z502" s="42"/>
      <c r="AA502" s="44"/>
      <c r="AB502" s="44"/>
      <c r="AC502" s="44"/>
      <c r="AD502" s="42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</row>
    <row r="503" spans="1:55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26"/>
      <c r="M503" s="8"/>
      <c r="N503" s="8"/>
      <c r="O503" s="42"/>
      <c r="P503" s="42"/>
      <c r="Q503" s="42"/>
      <c r="R503" s="42"/>
      <c r="S503" s="42"/>
      <c r="T503" s="42"/>
      <c r="U503" s="42"/>
      <c r="V503" s="42"/>
      <c r="W503" s="44"/>
      <c r="X503" s="42"/>
      <c r="Y503" s="42"/>
      <c r="Z503" s="42"/>
      <c r="AA503" s="44"/>
      <c r="AB503" s="44"/>
      <c r="AC503" s="44"/>
      <c r="AD503" s="42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</row>
    <row r="504" spans="1:55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26"/>
      <c r="M504" s="8"/>
      <c r="N504" s="8"/>
      <c r="O504" s="42"/>
      <c r="P504" s="42"/>
      <c r="Q504" s="42"/>
      <c r="R504" s="42"/>
      <c r="S504" s="42"/>
      <c r="T504" s="42"/>
      <c r="U504" s="42"/>
      <c r="V504" s="42"/>
      <c r="W504" s="44"/>
      <c r="X504" s="42"/>
      <c r="Y504" s="42"/>
      <c r="Z504" s="42"/>
      <c r="AA504" s="44"/>
      <c r="AB504" s="44"/>
      <c r="AC504" s="44"/>
      <c r="AD504" s="42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</row>
    <row r="505" spans="1:55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26"/>
      <c r="M505" s="8"/>
      <c r="N505" s="8"/>
      <c r="O505" s="42"/>
      <c r="P505" s="42"/>
      <c r="Q505" s="42"/>
      <c r="R505" s="42"/>
      <c r="S505" s="42"/>
      <c r="T505" s="42"/>
      <c r="U505" s="42"/>
      <c r="V505" s="42"/>
      <c r="W505" s="44"/>
      <c r="X505" s="42"/>
      <c r="Y505" s="42"/>
      <c r="Z505" s="42"/>
      <c r="AA505" s="44"/>
      <c r="AB505" s="44"/>
      <c r="AC505" s="44"/>
      <c r="AD505" s="42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</row>
    <row r="506" spans="1:55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26"/>
      <c r="M506" s="8"/>
      <c r="N506" s="8"/>
      <c r="O506" s="42"/>
      <c r="P506" s="42"/>
      <c r="Q506" s="42"/>
      <c r="R506" s="42"/>
      <c r="S506" s="42"/>
      <c r="T506" s="42"/>
      <c r="U506" s="42"/>
      <c r="V506" s="42"/>
      <c r="W506" s="44"/>
      <c r="X506" s="42"/>
      <c r="Y506" s="42"/>
      <c r="Z506" s="42"/>
      <c r="AA506" s="44"/>
      <c r="AB506" s="44"/>
      <c r="AC506" s="44"/>
      <c r="AD506" s="42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</row>
    <row r="507" spans="1:55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26"/>
      <c r="M507" s="8"/>
      <c r="N507" s="8"/>
      <c r="O507" s="42"/>
      <c r="P507" s="42"/>
      <c r="Q507" s="42"/>
      <c r="R507" s="42"/>
      <c r="S507" s="42"/>
      <c r="T507" s="42"/>
      <c r="U507" s="42"/>
      <c r="V507" s="42"/>
      <c r="W507" s="44"/>
      <c r="X507" s="42"/>
      <c r="Y507" s="42"/>
      <c r="Z507" s="42"/>
      <c r="AA507" s="44"/>
      <c r="AB507" s="44"/>
      <c r="AC507" s="44"/>
      <c r="AD507" s="42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</row>
    <row r="508" spans="1:55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26"/>
      <c r="M508" s="8"/>
      <c r="N508" s="8"/>
      <c r="O508" s="42"/>
      <c r="P508" s="42"/>
      <c r="Q508" s="42"/>
      <c r="R508" s="42"/>
      <c r="S508" s="42"/>
      <c r="T508" s="42"/>
      <c r="U508" s="42"/>
      <c r="V508" s="42"/>
      <c r="W508" s="44"/>
      <c r="X508" s="42"/>
      <c r="Y508" s="42"/>
      <c r="Z508" s="42"/>
      <c r="AA508" s="44"/>
      <c r="AB508" s="44"/>
      <c r="AC508" s="44"/>
      <c r="AD508" s="42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</row>
    <row r="509" spans="1:55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26"/>
      <c r="M509" s="8"/>
      <c r="N509" s="8"/>
      <c r="O509" s="42"/>
      <c r="P509" s="42"/>
      <c r="Q509" s="42"/>
      <c r="R509" s="42"/>
      <c r="S509" s="42"/>
      <c r="T509" s="42"/>
      <c r="U509" s="42"/>
      <c r="V509" s="42"/>
      <c r="W509" s="44"/>
      <c r="X509" s="42"/>
      <c r="Y509" s="42"/>
      <c r="Z509" s="42"/>
      <c r="AA509" s="44"/>
      <c r="AB509" s="44"/>
      <c r="AC509" s="44"/>
      <c r="AD509" s="42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</row>
    <row r="510" spans="1:55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26"/>
      <c r="M510" s="8"/>
      <c r="N510" s="8"/>
      <c r="O510" s="42"/>
      <c r="P510" s="42"/>
      <c r="Q510" s="42"/>
      <c r="R510" s="42"/>
      <c r="S510" s="42"/>
      <c r="T510" s="42"/>
      <c r="U510" s="42"/>
      <c r="V510" s="42"/>
      <c r="W510" s="44"/>
      <c r="X510" s="42"/>
      <c r="Y510" s="42"/>
      <c r="Z510" s="42"/>
      <c r="AA510" s="44"/>
      <c r="AB510" s="44"/>
      <c r="AC510" s="44"/>
      <c r="AD510" s="42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</row>
    <row r="511" spans="1:55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26"/>
      <c r="M511" s="8"/>
      <c r="N511" s="8"/>
      <c r="O511" s="42"/>
      <c r="P511" s="42"/>
      <c r="Q511" s="42"/>
      <c r="R511" s="42"/>
      <c r="S511" s="42"/>
      <c r="T511" s="42"/>
      <c r="U511" s="42"/>
      <c r="V511" s="42"/>
      <c r="W511" s="44"/>
      <c r="X511" s="42"/>
      <c r="Y511" s="42"/>
      <c r="Z511" s="42"/>
      <c r="AA511" s="44"/>
      <c r="AB511" s="44"/>
      <c r="AC511" s="44"/>
      <c r="AD511" s="42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</row>
    <row r="512" spans="1:55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26"/>
      <c r="M512" s="8"/>
      <c r="N512" s="8"/>
      <c r="O512" s="42"/>
      <c r="P512" s="42"/>
      <c r="Q512" s="42"/>
      <c r="R512" s="42"/>
      <c r="S512" s="42"/>
      <c r="T512" s="42"/>
      <c r="U512" s="42"/>
      <c r="V512" s="42"/>
      <c r="W512" s="44"/>
      <c r="X512" s="42"/>
      <c r="Y512" s="42"/>
      <c r="Z512" s="42"/>
      <c r="AA512" s="44"/>
      <c r="AB512" s="44"/>
      <c r="AC512" s="44"/>
      <c r="AD512" s="42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</row>
    <row r="513" spans="1:55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26"/>
      <c r="M513" s="8"/>
      <c r="N513" s="8"/>
      <c r="O513" s="42"/>
      <c r="P513" s="42"/>
      <c r="Q513" s="42"/>
      <c r="R513" s="42"/>
      <c r="S513" s="42"/>
      <c r="T513" s="42"/>
      <c r="U513" s="42"/>
      <c r="V513" s="42"/>
      <c r="W513" s="44"/>
      <c r="X513" s="42"/>
      <c r="Y513" s="42"/>
      <c r="Z513" s="42"/>
      <c r="AA513" s="44"/>
      <c r="AB513" s="44"/>
      <c r="AC513" s="44"/>
      <c r="AD513" s="42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</row>
    <row r="514" spans="1:55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26"/>
      <c r="M514" s="8"/>
      <c r="N514" s="8"/>
      <c r="O514" s="42"/>
      <c r="P514" s="42"/>
      <c r="Q514" s="42"/>
      <c r="R514" s="42"/>
      <c r="S514" s="42"/>
      <c r="T514" s="42"/>
      <c r="U514" s="42"/>
      <c r="V514" s="42"/>
      <c r="W514" s="44"/>
      <c r="X514" s="42"/>
      <c r="Y514" s="42"/>
      <c r="Z514" s="42"/>
      <c r="AA514" s="44"/>
      <c r="AB514" s="44"/>
      <c r="AC514" s="44"/>
      <c r="AD514" s="42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</row>
    <row r="515" spans="1:55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26"/>
      <c r="M515" s="8"/>
      <c r="N515" s="8"/>
      <c r="O515" s="42"/>
      <c r="P515" s="42"/>
      <c r="Q515" s="42"/>
      <c r="R515" s="42"/>
      <c r="S515" s="42"/>
      <c r="T515" s="42"/>
      <c r="U515" s="42"/>
      <c r="V515" s="42"/>
      <c r="W515" s="44"/>
      <c r="X515" s="42"/>
      <c r="Y515" s="42"/>
      <c r="Z515" s="42"/>
      <c r="AA515" s="44"/>
      <c r="AB515" s="44"/>
      <c r="AC515" s="44"/>
      <c r="AD515" s="42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</row>
    <row r="516" spans="1:55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26"/>
      <c r="M516" s="8"/>
      <c r="N516" s="8"/>
      <c r="O516" s="42"/>
      <c r="P516" s="42"/>
      <c r="Q516" s="42"/>
      <c r="R516" s="42"/>
      <c r="S516" s="42"/>
      <c r="T516" s="42"/>
      <c r="U516" s="42"/>
      <c r="V516" s="42"/>
      <c r="W516" s="44"/>
      <c r="X516" s="42"/>
      <c r="Y516" s="42"/>
      <c r="Z516" s="42"/>
      <c r="AA516" s="44"/>
      <c r="AB516" s="44"/>
      <c r="AC516" s="44"/>
      <c r="AD516" s="42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</row>
    <row r="517" spans="1:55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26"/>
      <c r="M517" s="8"/>
      <c r="N517" s="8"/>
      <c r="O517" s="42"/>
      <c r="P517" s="42"/>
      <c r="Q517" s="42"/>
      <c r="R517" s="42"/>
      <c r="S517" s="42"/>
      <c r="T517" s="42"/>
      <c r="U517" s="42"/>
      <c r="V517" s="42"/>
      <c r="W517" s="44"/>
      <c r="X517" s="42"/>
      <c r="Y517" s="42"/>
      <c r="Z517" s="42"/>
      <c r="AA517" s="44"/>
      <c r="AB517" s="44"/>
      <c r="AC517" s="44"/>
      <c r="AD517" s="42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</row>
    <row r="518" spans="1:55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26"/>
      <c r="M518" s="8"/>
      <c r="N518" s="8"/>
      <c r="O518" s="42"/>
      <c r="P518" s="42"/>
      <c r="Q518" s="42"/>
      <c r="R518" s="42"/>
      <c r="S518" s="42"/>
      <c r="T518" s="42"/>
      <c r="U518" s="42"/>
      <c r="V518" s="42"/>
      <c r="W518" s="44"/>
      <c r="X518" s="42"/>
      <c r="Y518" s="42"/>
      <c r="Z518" s="42"/>
      <c r="AA518" s="44"/>
      <c r="AB518" s="44"/>
      <c r="AC518" s="44"/>
      <c r="AD518" s="42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</row>
    <row r="519" spans="1:55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26"/>
      <c r="M519" s="8"/>
      <c r="N519" s="8"/>
      <c r="O519" s="42"/>
      <c r="P519" s="42"/>
      <c r="Q519" s="42"/>
      <c r="R519" s="42"/>
      <c r="S519" s="42"/>
      <c r="T519" s="42"/>
      <c r="U519" s="42"/>
      <c r="V519" s="42"/>
      <c r="W519" s="44"/>
      <c r="X519" s="42"/>
      <c r="Y519" s="42"/>
      <c r="Z519" s="42"/>
      <c r="AA519" s="44"/>
      <c r="AB519" s="44"/>
      <c r="AC519" s="44"/>
      <c r="AD519" s="42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</row>
    <row r="520" spans="1:55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26"/>
      <c r="M520" s="8"/>
      <c r="N520" s="8"/>
      <c r="O520" s="42"/>
      <c r="P520" s="42"/>
      <c r="Q520" s="42"/>
      <c r="R520" s="42"/>
      <c r="S520" s="42"/>
      <c r="T520" s="42"/>
      <c r="U520" s="42"/>
      <c r="V520" s="42"/>
      <c r="W520" s="44"/>
      <c r="X520" s="42"/>
      <c r="Y520" s="42"/>
      <c r="Z520" s="42"/>
      <c r="AA520" s="44"/>
      <c r="AB520" s="44"/>
      <c r="AC520" s="44"/>
      <c r="AD520" s="42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</row>
    <row r="521" spans="1:55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26"/>
      <c r="M521" s="8"/>
      <c r="N521" s="8"/>
      <c r="O521" s="42"/>
      <c r="P521" s="42"/>
      <c r="Q521" s="42"/>
      <c r="R521" s="42"/>
      <c r="S521" s="42"/>
      <c r="T521" s="42"/>
      <c r="U521" s="42"/>
      <c r="V521" s="42"/>
      <c r="W521" s="44"/>
      <c r="X521" s="42"/>
      <c r="Y521" s="42"/>
      <c r="Z521" s="42"/>
      <c r="AA521" s="44"/>
      <c r="AB521" s="44"/>
      <c r="AC521" s="44"/>
      <c r="AD521" s="42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</row>
    <row r="522" spans="1:55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26"/>
      <c r="M522" s="8"/>
      <c r="N522" s="8"/>
      <c r="O522" s="42"/>
      <c r="P522" s="42"/>
      <c r="Q522" s="42"/>
      <c r="R522" s="42"/>
      <c r="S522" s="42"/>
      <c r="T522" s="42"/>
      <c r="U522" s="42"/>
      <c r="V522" s="42"/>
      <c r="W522" s="44"/>
      <c r="X522" s="42"/>
      <c r="Y522" s="42"/>
      <c r="Z522" s="42"/>
      <c r="AA522" s="44"/>
      <c r="AB522" s="44"/>
      <c r="AC522" s="44"/>
      <c r="AD522" s="42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</row>
    <row r="523" spans="1:55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26"/>
      <c r="M523" s="8"/>
      <c r="N523" s="8"/>
      <c r="O523" s="42"/>
      <c r="P523" s="42"/>
      <c r="Q523" s="42"/>
      <c r="R523" s="42"/>
      <c r="S523" s="42"/>
      <c r="T523" s="42"/>
      <c r="U523" s="42"/>
      <c r="V523" s="42"/>
      <c r="W523" s="44"/>
      <c r="X523" s="42"/>
      <c r="Y523" s="42"/>
      <c r="Z523" s="42"/>
      <c r="AA523" s="44"/>
      <c r="AB523" s="44"/>
      <c r="AC523" s="44"/>
      <c r="AD523" s="42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</row>
    <row r="524" spans="1:55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26"/>
      <c r="M524" s="8"/>
      <c r="N524" s="8"/>
      <c r="O524" s="42"/>
      <c r="P524" s="42"/>
      <c r="Q524" s="42"/>
      <c r="R524" s="42"/>
      <c r="S524" s="42"/>
      <c r="T524" s="42"/>
      <c r="U524" s="42"/>
      <c r="V524" s="42"/>
      <c r="W524" s="44"/>
      <c r="X524" s="42"/>
      <c r="Y524" s="42"/>
      <c r="Z524" s="42"/>
      <c r="AA524" s="44"/>
      <c r="AB524" s="44"/>
      <c r="AC524" s="44"/>
      <c r="AD524" s="42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</row>
    <row r="525" spans="1:55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26"/>
      <c r="M525" s="8"/>
      <c r="N525" s="8"/>
      <c r="O525" s="42"/>
      <c r="P525" s="42"/>
      <c r="Q525" s="42"/>
      <c r="R525" s="42"/>
      <c r="S525" s="42"/>
      <c r="T525" s="42"/>
      <c r="U525" s="42"/>
      <c r="V525" s="42"/>
      <c r="W525" s="44"/>
      <c r="X525" s="42"/>
      <c r="Y525" s="42"/>
      <c r="Z525" s="42"/>
      <c r="AA525" s="44"/>
      <c r="AB525" s="44"/>
      <c r="AC525" s="44"/>
      <c r="AD525" s="42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</row>
    <row r="526" spans="1:55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26"/>
      <c r="M526" s="8"/>
      <c r="N526" s="8"/>
      <c r="O526" s="42"/>
      <c r="P526" s="42"/>
      <c r="Q526" s="42"/>
      <c r="R526" s="42"/>
      <c r="S526" s="42"/>
      <c r="T526" s="42"/>
      <c r="U526" s="42"/>
      <c r="V526" s="42"/>
      <c r="W526" s="44"/>
      <c r="X526" s="42"/>
      <c r="Y526" s="42"/>
      <c r="Z526" s="42"/>
      <c r="AA526" s="44"/>
      <c r="AB526" s="44"/>
      <c r="AC526" s="44"/>
      <c r="AD526" s="42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</row>
    <row r="527" spans="1:55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26"/>
      <c r="M527" s="8"/>
      <c r="N527" s="8"/>
      <c r="O527" s="42"/>
      <c r="P527" s="42"/>
      <c r="Q527" s="42"/>
      <c r="R527" s="42"/>
      <c r="S527" s="42"/>
      <c r="T527" s="42"/>
      <c r="U527" s="42"/>
      <c r="V527" s="42"/>
      <c r="W527" s="44"/>
      <c r="X527" s="42"/>
      <c r="Y527" s="42"/>
      <c r="Z527" s="42"/>
      <c r="AA527" s="44"/>
      <c r="AB527" s="44"/>
      <c r="AC527" s="44"/>
      <c r="AD527" s="42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</row>
    <row r="528" spans="1:55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26"/>
      <c r="M528" s="8"/>
      <c r="N528" s="8"/>
      <c r="O528" s="42"/>
      <c r="P528" s="42"/>
      <c r="Q528" s="42"/>
      <c r="R528" s="42"/>
      <c r="S528" s="42"/>
      <c r="T528" s="42"/>
      <c r="U528" s="42"/>
      <c r="V528" s="42"/>
      <c r="W528" s="44"/>
      <c r="X528" s="42"/>
      <c r="Y528" s="42"/>
      <c r="Z528" s="42"/>
      <c r="AA528" s="44"/>
      <c r="AB528" s="44"/>
      <c r="AC528" s="44"/>
      <c r="AD528" s="42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</row>
    <row r="529" spans="1:55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26"/>
      <c r="M529" s="8"/>
      <c r="N529" s="8"/>
      <c r="O529" s="42"/>
      <c r="P529" s="42"/>
      <c r="Q529" s="42"/>
      <c r="R529" s="42"/>
      <c r="S529" s="42"/>
      <c r="T529" s="42"/>
      <c r="U529" s="42"/>
      <c r="V529" s="42"/>
      <c r="W529" s="44"/>
      <c r="X529" s="42"/>
      <c r="Y529" s="42"/>
      <c r="Z529" s="42"/>
      <c r="AA529" s="44"/>
      <c r="AB529" s="44"/>
      <c r="AC529" s="44"/>
      <c r="AD529" s="42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</row>
    <row r="530" spans="1:55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26"/>
      <c r="M530" s="8"/>
      <c r="N530" s="8"/>
      <c r="O530" s="42"/>
      <c r="P530" s="42"/>
      <c r="Q530" s="42"/>
      <c r="R530" s="42"/>
      <c r="S530" s="42"/>
      <c r="T530" s="42"/>
      <c r="U530" s="42"/>
      <c r="V530" s="42"/>
      <c r="W530" s="44"/>
      <c r="X530" s="42"/>
      <c r="Y530" s="42"/>
      <c r="Z530" s="42"/>
      <c r="AA530" s="44"/>
      <c r="AB530" s="44"/>
      <c r="AC530" s="44"/>
      <c r="AD530" s="42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</row>
    <row r="531" spans="1:55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26"/>
      <c r="M531" s="8"/>
      <c r="N531" s="8"/>
      <c r="O531" s="42"/>
      <c r="P531" s="42"/>
      <c r="Q531" s="42"/>
      <c r="R531" s="42"/>
      <c r="S531" s="42"/>
      <c r="T531" s="42"/>
      <c r="U531" s="42"/>
      <c r="V531" s="42"/>
      <c r="W531" s="44"/>
      <c r="X531" s="42"/>
      <c r="Y531" s="42"/>
      <c r="Z531" s="42"/>
      <c r="AA531" s="44"/>
      <c r="AB531" s="44"/>
      <c r="AC531" s="44"/>
      <c r="AD531" s="42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</row>
    <row r="532" spans="1:55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26"/>
      <c r="M532" s="8"/>
      <c r="N532" s="8"/>
      <c r="O532" s="42"/>
      <c r="P532" s="42"/>
      <c r="Q532" s="42"/>
      <c r="R532" s="42"/>
      <c r="S532" s="42"/>
      <c r="T532" s="42"/>
      <c r="U532" s="42"/>
      <c r="V532" s="42"/>
      <c r="W532" s="44"/>
      <c r="X532" s="42"/>
      <c r="Y532" s="42"/>
      <c r="Z532" s="42"/>
      <c r="AA532" s="44"/>
      <c r="AB532" s="44"/>
      <c r="AC532" s="44"/>
      <c r="AD532" s="42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</row>
    <row r="533" spans="1:55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26"/>
      <c r="M533" s="8"/>
      <c r="N533" s="8"/>
      <c r="O533" s="42"/>
      <c r="P533" s="42"/>
      <c r="Q533" s="42"/>
      <c r="R533" s="42"/>
      <c r="S533" s="42"/>
      <c r="T533" s="42"/>
      <c r="U533" s="42"/>
      <c r="V533" s="42"/>
      <c r="W533" s="44"/>
      <c r="X533" s="42"/>
      <c r="Y533" s="42"/>
      <c r="Z533" s="42"/>
      <c r="AA533" s="44"/>
      <c r="AB533" s="44"/>
      <c r="AC533" s="44"/>
      <c r="AD533" s="42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</row>
    <row r="534" spans="1:55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26"/>
      <c r="M534" s="8"/>
      <c r="N534" s="8"/>
      <c r="O534" s="42"/>
      <c r="P534" s="42"/>
      <c r="Q534" s="42"/>
      <c r="R534" s="42"/>
      <c r="S534" s="42"/>
      <c r="T534" s="42"/>
      <c r="U534" s="42"/>
      <c r="V534" s="42"/>
      <c r="W534" s="44"/>
      <c r="X534" s="42"/>
      <c r="Y534" s="42"/>
      <c r="Z534" s="42"/>
      <c r="AA534" s="44"/>
      <c r="AB534" s="44"/>
      <c r="AC534" s="44"/>
      <c r="AD534" s="42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</row>
    <row r="535" spans="1:55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26"/>
      <c r="M535" s="8"/>
      <c r="N535" s="8"/>
      <c r="O535" s="42"/>
      <c r="P535" s="42"/>
      <c r="Q535" s="42"/>
      <c r="R535" s="42"/>
      <c r="S535" s="42"/>
      <c r="T535" s="42"/>
      <c r="U535" s="42"/>
      <c r="V535" s="42"/>
      <c r="W535" s="44"/>
      <c r="X535" s="42"/>
      <c r="Y535" s="42"/>
      <c r="Z535" s="42"/>
      <c r="AA535" s="44"/>
      <c r="AB535" s="44"/>
      <c r="AC535" s="44"/>
      <c r="AD535" s="42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</row>
    <row r="536" spans="1:55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26"/>
      <c r="M536" s="8"/>
      <c r="N536" s="8"/>
      <c r="O536" s="42"/>
      <c r="P536" s="42"/>
      <c r="Q536" s="42"/>
      <c r="R536" s="42"/>
      <c r="S536" s="42"/>
      <c r="T536" s="42"/>
      <c r="U536" s="42"/>
      <c r="V536" s="42"/>
      <c r="W536" s="44"/>
      <c r="X536" s="42"/>
      <c r="Y536" s="42"/>
      <c r="Z536" s="42"/>
      <c r="AA536" s="44"/>
      <c r="AB536" s="44"/>
      <c r="AC536" s="44"/>
      <c r="AD536" s="42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</row>
    <row r="537" spans="1:55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26"/>
      <c r="M537" s="8"/>
      <c r="N537" s="8"/>
      <c r="O537" s="42"/>
      <c r="P537" s="42"/>
      <c r="Q537" s="42"/>
      <c r="R537" s="42"/>
      <c r="S537" s="42"/>
      <c r="T537" s="42"/>
      <c r="U537" s="42"/>
      <c r="V537" s="42"/>
      <c r="W537" s="44"/>
      <c r="X537" s="42"/>
      <c r="Y537" s="42"/>
      <c r="Z537" s="42"/>
      <c r="AA537" s="44"/>
      <c r="AB537" s="44"/>
      <c r="AC537" s="44"/>
      <c r="AD537" s="42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</row>
    <row r="538" spans="1:55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26"/>
      <c r="M538" s="8"/>
      <c r="N538" s="8"/>
      <c r="O538" s="42"/>
      <c r="P538" s="42"/>
      <c r="Q538" s="42"/>
      <c r="R538" s="42"/>
      <c r="S538" s="42"/>
      <c r="T538" s="42"/>
      <c r="U538" s="42"/>
      <c r="V538" s="42"/>
      <c r="W538" s="44"/>
      <c r="X538" s="42"/>
      <c r="Y538" s="42"/>
      <c r="Z538" s="42"/>
      <c r="AA538" s="44"/>
      <c r="AB538" s="44"/>
      <c r="AC538" s="44"/>
      <c r="AD538" s="42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</row>
    <row r="539" spans="1:55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26"/>
      <c r="M539" s="8"/>
      <c r="N539" s="8"/>
      <c r="O539" s="42"/>
      <c r="P539" s="42"/>
      <c r="Q539" s="42"/>
      <c r="R539" s="42"/>
      <c r="S539" s="42"/>
      <c r="T539" s="42"/>
      <c r="U539" s="42"/>
      <c r="V539" s="42"/>
      <c r="W539" s="44"/>
      <c r="X539" s="42"/>
      <c r="Y539" s="42"/>
      <c r="Z539" s="42"/>
      <c r="AA539" s="44"/>
      <c r="AB539" s="44"/>
      <c r="AC539" s="44"/>
      <c r="AD539" s="42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</row>
    <row r="540" spans="1:55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26"/>
      <c r="M540" s="8"/>
      <c r="N540" s="8"/>
      <c r="O540" s="42"/>
      <c r="P540" s="42"/>
      <c r="Q540" s="42"/>
      <c r="R540" s="42"/>
      <c r="S540" s="42"/>
      <c r="T540" s="42"/>
      <c r="U540" s="42"/>
      <c r="V540" s="42"/>
      <c r="W540" s="44"/>
      <c r="X540" s="42"/>
      <c r="Y540" s="42"/>
      <c r="Z540" s="42"/>
      <c r="AA540" s="44"/>
      <c r="AB540" s="44"/>
      <c r="AC540" s="44"/>
      <c r="AD540" s="42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</row>
    <row r="541" spans="1:55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26"/>
      <c r="M541" s="8"/>
      <c r="N541" s="8"/>
      <c r="O541" s="42"/>
      <c r="P541" s="42"/>
      <c r="Q541" s="42"/>
      <c r="R541" s="42"/>
      <c r="S541" s="42"/>
      <c r="T541" s="42"/>
      <c r="U541" s="42"/>
      <c r="V541" s="42"/>
      <c r="W541" s="44"/>
      <c r="X541" s="42"/>
      <c r="Y541" s="42"/>
      <c r="Z541" s="42"/>
      <c r="AA541" s="44"/>
      <c r="AB541" s="44"/>
      <c r="AC541" s="44"/>
      <c r="AD541" s="42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</row>
    <row r="542" spans="1:55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26"/>
      <c r="M542" s="8"/>
      <c r="N542" s="8"/>
      <c r="O542" s="42"/>
      <c r="P542" s="42"/>
      <c r="Q542" s="42"/>
      <c r="R542" s="42"/>
      <c r="S542" s="42"/>
      <c r="T542" s="42"/>
      <c r="U542" s="42"/>
      <c r="V542" s="42"/>
      <c r="W542" s="44"/>
      <c r="X542" s="42"/>
      <c r="Y542" s="42"/>
      <c r="Z542" s="42"/>
      <c r="AA542" s="44"/>
      <c r="AB542" s="44"/>
      <c r="AC542" s="44"/>
      <c r="AD542" s="42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</row>
    <row r="543" spans="1:55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26"/>
      <c r="M543" s="8"/>
      <c r="N543" s="8"/>
      <c r="O543" s="42"/>
      <c r="P543" s="42"/>
      <c r="Q543" s="42"/>
      <c r="R543" s="42"/>
      <c r="S543" s="42"/>
      <c r="T543" s="42"/>
      <c r="U543" s="42"/>
      <c r="V543" s="42"/>
      <c r="W543" s="44"/>
      <c r="X543" s="42"/>
      <c r="Y543" s="42"/>
      <c r="Z543" s="42"/>
      <c r="AA543" s="44"/>
      <c r="AB543" s="44"/>
      <c r="AC543" s="44"/>
      <c r="AD543" s="42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</row>
    <row r="544" spans="1:55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26"/>
      <c r="M544" s="8"/>
      <c r="N544" s="8"/>
      <c r="O544" s="42"/>
      <c r="P544" s="42"/>
      <c r="Q544" s="42"/>
      <c r="R544" s="42"/>
      <c r="S544" s="42"/>
      <c r="T544" s="42"/>
      <c r="U544" s="42"/>
      <c r="V544" s="42"/>
      <c r="W544" s="44"/>
      <c r="X544" s="42"/>
      <c r="Y544" s="42"/>
      <c r="Z544" s="42"/>
      <c r="AA544" s="44"/>
      <c r="AB544" s="44"/>
      <c r="AC544" s="44"/>
      <c r="AD544" s="42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</row>
    <row r="545" spans="1:55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26"/>
      <c r="M545" s="8"/>
      <c r="N545" s="8"/>
      <c r="O545" s="42"/>
      <c r="P545" s="42"/>
      <c r="Q545" s="42"/>
      <c r="R545" s="42"/>
      <c r="S545" s="42"/>
      <c r="T545" s="42"/>
      <c r="U545" s="42"/>
      <c r="V545" s="42"/>
      <c r="W545" s="44"/>
      <c r="X545" s="42"/>
      <c r="Y545" s="42"/>
      <c r="Z545" s="42"/>
      <c r="AA545" s="44"/>
      <c r="AB545" s="44"/>
      <c r="AC545" s="44"/>
      <c r="AD545" s="42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</row>
    <row r="546" spans="1:55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26"/>
      <c r="M546" s="8"/>
      <c r="N546" s="8"/>
      <c r="O546" s="42"/>
      <c r="P546" s="42"/>
      <c r="Q546" s="42"/>
      <c r="R546" s="42"/>
      <c r="S546" s="42"/>
      <c r="T546" s="42"/>
      <c r="U546" s="42"/>
      <c r="V546" s="42"/>
      <c r="W546" s="44"/>
      <c r="X546" s="42"/>
      <c r="Y546" s="42"/>
      <c r="Z546" s="42"/>
      <c r="AA546" s="44"/>
      <c r="AB546" s="44"/>
      <c r="AC546" s="44"/>
      <c r="AD546" s="42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</row>
    <row r="547" spans="1:55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26"/>
      <c r="M547" s="8"/>
      <c r="N547" s="8"/>
      <c r="O547" s="42"/>
      <c r="P547" s="42"/>
      <c r="Q547" s="42"/>
      <c r="R547" s="42"/>
      <c r="S547" s="42"/>
      <c r="T547" s="42"/>
      <c r="U547" s="42"/>
      <c r="V547" s="42"/>
      <c r="W547" s="44"/>
      <c r="X547" s="42"/>
      <c r="Y547" s="42"/>
      <c r="Z547" s="42"/>
      <c r="AA547" s="44"/>
      <c r="AB547" s="44"/>
      <c r="AC547" s="44"/>
      <c r="AD547" s="42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</row>
    <row r="548" spans="1:55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26"/>
      <c r="M548" s="8"/>
      <c r="N548" s="8"/>
      <c r="O548" s="42"/>
      <c r="P548" s="42"/>
      <c r="Q548" s="42"/>
      <c r="R548" s="42"/>
      <c r="S548" s="42"/>
      <c r="T548" s="42"/>
      <c r="U548" s="42"/>
      <c r="V548" s="42"/>
      <c r="W548" s="44"/>
      <c r="X548" s="42"/>
      <c r="Y548" s="42"/>
      <c r="Z548" s="42"/>
      <c r="AA548" s="44"/>
      <c r="AB548" s="44"/>
      <c r="AC548" s="44"/>
      <c r="AD548" s="42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</row>
    <row r="549" spans="1:55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26"/>
      <c r="M549" s="8"/>
      <c r="N549" s="8"/>
      <c r="O549" s="42"/>
      <c r="P549" s="42"/>
      <c r="Q549" s="42"/>
      <c r="R549" s="42"/>
      <c r="S549" s="42"/>
      <c r="T549" s="42"/>
      <c r="U549" s="42"/>
      <c r="V549" s="42"/>
      <c r="W549" s="44"/>
      <c r="X549" s="42"/>
      <c r="Y549" s="42"/>
      <c r="Z549" s="42"/>
      <c r="AA549" s="44"/>
      <c r="AB549" s="44"/>
      <c r="AC549" s="44"/>
      <c r="AD549" s="42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</row>
    <row r="550" spans="1:55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26"/>
      <c r="M550" s="8"/>
      <c r="N550" s="8"/>
      <c r="O550" s="42"/>
      <c r="P550" s="42"/>
      <c r="Q550" s="42"/>
      <c r="R550" s="42"/>
      <c r="S550" s="42"/>
      <c r="T550" s="42"/>
      <c r="U550" s="42"/>
      <c r="V550" s="42"/>
      <c r="W550" s="44"/>
      <c r="X550" s="42"/>
      <c r="Y550" s="42"/>
      <c r="Z550" s="42"/>
      <c r="AA550" s="44"/>
      <c r="AB550" s="44"/>
      <c r="AC550" s="44"/>
      <c r="AD550" s="42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</row>
    <row r="551" spans="1:55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26"/>
      <c r="M551" s="8"/>
      <c r="N551" s="8"/>
      <c r="O551" s="42"/>
      <c r="P551" s="42"/>
      <c r="Q551" s="42"/>
      <c r="R551" s="42"/>
      <c r="S551" s="42"/>
      <c r="T551" s="42"/>
      <c r="U551" s="42"/>
      <c r="V551" s="42"/>
      <c r="W551" s="44"/>
      <c r="X551" s="42"/>
      <c r="Y551" s="42"/>
      <c r="Z551" s="42"/>
      <c r="AA551" s="44"/>
      <c r="AB551" s="44"/>
      <c r="AC551" s="44"/>
      <c r="AD551" s="42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</row>
    <row r="552" spans="1:55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26"/>
      <c r="M552" s="8"/>
      <c r="N552" s="8"/>
      <c r="O552" s="42"/>
      <c r="P552" s="42"/>
      <c r="Q552" s="42"/>
      <c r="R552" s="42"/>
      <c r="S552" s="42"/>
      <c r="T552" s="42"/>
      <c r="U552" s="42"/>
      <c r="V552" s="42"/>
      <c r="W552" s="44"/>
      <c r="X552" s="42"/>
      <c r="Y552" s="42"/>
      <c r="Z552" s="42"/>
      <c r="AA552" s="44"/>
      <c r="AB552" s="44"/>
      <c r="AC552" s="44"/>
      <c r="AD552" s="42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</row>
    <row r="553" spans="1:55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26"/>
      <c r="M553" s="8"/>
      <c r="N553" s="8"/>
      <c r="O553" s="42"/>
      <c r="P553" s="42"/>
      <c r="Q553" s="42"/>
      <c r="R553" s="42"/>
      <c r="S553" s="42"/>
      <c r="T553" s="42"/>
      <c r="U553" s="42"/>
      <c r="V553" s="42"/>
      <c r="W553" s="44"/>
      <c r="X553" s="42"/>
      <c r="Y553" s="42"/>
      <c r="Z553" s="42"/>
      <c r="AA553" s="44"/>
      <c r="AB553" s="44"/>
      <c r="AC553" s="44"/>
      <c r="AD553" s="42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</row>
    <row r="554" spans="1:55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26"/>
      <c r="M554" s="8"/>
      <c r="N554" s="8"/>
      <c r="O554" s="42"/>
      <c r="P554" s="42"/>
      <c r="Q554" s="42"/>
      <c r="R554" s="42"/>
      <c r="S554" s="42"/>
      <c r="T554" s="42"/>
      <c r="U554" s="42"/>
      <c r="V554" s="42"/>
      <c r="W554" s="44"/>
      <c r="X554" s="42"/>
      <c r="Y554" s="42"/>
      <c r="Z554" s="42"/>
      <c r="AA554" s="44"/>
      <c r="AB554" s="44"/>
      <c r="AC554" s="44"/>
      <c r="AD554" s="42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</row>
    <row r="555" spans="1:55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26"/>
      <c r="M555" s="8"/>
      <c r="N555" s="8"/>
      <c r="O555" s="42"/>
      <c r="P555" s="42"/>
      <c r="Q555" s="42"/>
      <c r="R555" s="42"/>
      <c r="S555" s="42"/>
      <c r="T555" s="42"/>
      <c r="U555" s="42"/>
      <c r="V555" s="42"/>
      <c r="W555" s="44"/>
      <c r="X555" s="42"/>
      <c r="Y555" s="42"/>
      <c r="Z555" s="42"/>
      <c r="AA555" s="44"/>
      <c r="AB555" s="44"/>
      <c r="AC555" s="44"/>
      <c r="AD555" s="42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</row>
    <row r="556" spans="1:55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26"/>
      <c r="M556" s="8"/>
      <c r="N556" s="8"/>
      <c r="O556" s="42"/>
      <c r="P556" s="42"/>
      <c r="Q556" s="42"/>
      <c r="R556" s="42"/>
      <c r="S556" s="42"/>
      <c r="T556" s="42"/>
      <c r="U556" s="42"/>
      <c r="V556" s="42"/>
      <c r="W556" s="44"/>
      <c r="X556" s="42"/>
      <c r="Y556" s="42"/>
      <c r="Z556" s="42"/>
      <c r="AA556" s="44"/>
      <c r="AB556" s="44"/>
      <c r="AC556" s="44"/>
      <c r="AD556" s="42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</row>
    <row r="557" spans="1:55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26"/>
      <c r="M557" s="8"/>
      <c r="N557" s="8"/>
      <c r="O557" s="42"/>
      <c r="P557" s="42"/>
      <c r="Q557" s="42"/>
      <c r="R557" s="42"/>
      <c r="S557" s="42"/>
      <c r="T557" s="42"/>
      <c r="U557" s="42"/>
      <c r="V557" s="42"/>
      <c r="W557" s="44"/>
      <c r="X557" s="42"/>
      <c r="Y557" s="42"/>
      <c r="Z557" s="42"/>
      <c r="AA557" s="44"/>
      <c r="AB557" s="44"/>
      <c r="AC557" s="44"/>
      <c r="AD557" s="42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</row>
    <row r="558" spans="1:55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26"/>
      <c r="M558" s="8"/>
      <c r="N558" s="8"/>
      <c r="O558" s="42"/>
      <c r="P558" s="42"/>
      <c r="Q558" s="42"/>
      <c r="R558" s="42"/>
      <c r="S558" s="42"/>
      <c r="T558" s="42"/>
      <c r="U558" s="42"/>
      <c r="V558" s="42"/>
      <c r="W558" s="44"/>
      <c r="X558" s="42"/>
      <c r="Y558" s="42"/>
      <c r="Z558" s="42"/>
      <c r="AA558" s="44"/>
      <c r="AB558" s="44"/>
      <c r="AC558" s="44"/>
      <c r="AD558" s="42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</row>
    <row r="559" spans="1:55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26"/>
      <c r="M559" s="8"/>
      <c r="N559" s="8"/>
      <c r="O559" s="42"/>
      <c r="P559" s="42"/>
      <c r="Q559" s="42"/>
      <c r="R559" s="42"/>
      <c r="S559" s="42"/>
      <c r="T559" s="42"/>
      <c r="U559" s="42"/>
      <c r="V559" s="42"/>
      <c r="W559" s="44"/>
      <c r="X559" s="42"/>
      <c r="Y559" s="42"/>
      <c r="Z559" s="42"/>
      <c r="AA559" s="44"/>
      <c r="AB559" s="44"/>
      <c r="AC559" s="44"/>
      <c r="AD559" s="42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</row>
    <row r="560" spans="1:55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26"/>
      <c r="M560" s="8"/>
      <c r="N560" s="8"/>
      <c r="O560" s="42"/>
      <c r="P560" s="42"/>
      <c r="Q560" s="42"/>
      <c r="R560" s="42"/>
      <c r="S560" s="42"/>
      <c r="T560" s="42"/>
      <c r="U560" s="42"/>
      <c r="V560" s="42"/>
      <c r="W560" s="44"/>
      <c r="X560" s="42"/>
      <c r="Y560" s="42"/>
      <c r="Z560" s="42"/>
      <c r="AA560" s="44"/>
      <c r="AB560" s="44"/>
      <c r="AC560" s="44"/>
      <c r="AD560" s="42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</row>
    <row r="561" spans="1:55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26"/>
      <c r="M561" s="8"/>
      <c r="N561" s="8"/>
      <c r="O561" s="42"/>
      <c r="P561" s="42"/>
      <c r="Q561" s="42"/>
      <c r="R561" s="42"/>
      <c r="S561" s="42"/>
      <c r="T561" s="42"/>
      <c r="U561" s="42"/>
      <c r="V561" s="42"/>
      <c r="W561" s="44"/>
      <c r="X561" s="42"/>
      <c r="Y561" s="42"/>
      <c r="Z561" s="42"/>
      <c r="AA561" s="44"/>
      <c r="AB561" s="44"/>
      <c r="AC561" s="44"/>
      <c r="AD561" s="42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</row>
    <row r="562" spans="1:55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26"/>
      <c r="M562" s="8"/>
      <c r="N562" s="8"/>
      <c r="O562" s="42"/>
      <c r="P562" s="42"/>
      <c r="Q562" s="42"/>
      <c r="R562" s="42"/>
      <c r="S562" s="42"/>
      <c r="T562" s="42"/>
      <c r="U562" s="42"/>
      <c r="V562" s="42"/>
      <c r="W562" s="44"/>
      <c r="X562" s="42"/>
      <c r="Y562" s="42"/>
      <c r="Z562" s="42"/>
      <c r="AA562" s="44"/>
      <c r="AB562" s="44"/>
      <c r="AC562" s="44"/>
      <c r="AD562" s="42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</row>
    <row r="563" spans="1:55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26"/>
      <c r="M563" s="8"/>
      <c r="N563" s="8"/>
      <c r="O563" s="42"/>
      <c r="P563" s="42"/>
      <c r="Q563" s="42"/>
      <c r="R563" s="42"/>
      <c r="S563" s="42"/>
      <c r="T563" s="42"/>
      <c r="U563" s="42"/>
      <c r="V563" s="42"/>
      <c r="W563" s="44"/>
      <c r="X563" s="42"/>
      <c r="Y563" s="42"/>
      <c r="Z563" s="42"/>
      <c r="AA563" s="44"/>
      <c r="AB563" s="44"/>
      <c r="AC563" s="44"/>
      <c r="AD563" s="42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</row>
    <row r="564" spans="1:55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26"/>
      <c r="M564" s="8"/>
      <c r="N564" s="8"/>
      <c r="O564" s="42"/>
      <c r="P564" s="42"/>
      <c r="Q564" s="42"/>
      <c r="R564" s="42"/>
      <c r="S564" s="42"/>
      <c r="T564" s="42"/>
      <c r="U564" s="42"/>
      <c r="V564" s="42"/>
      <c r="W564" s="44"/>
      <c r="X564" s="42"/>
      <c r="Y564" s="42"/>
      <c r="Z564" s="42"/>
      <c r="AA564" s="44"/>
      <c r="AB564" s="44"/>
      <c r="AC564" s="44"/>
      <c r="AD564" s="42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</row>
    <row r="565" spans="1:55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26"/>
      <c r="M565" s="8"/>
      <c r="N565" s="8"/>
      <c r="O565" s="42"/>
      <c r="P565" s="42"/>
      <c r="Q565" s="42"/>
      <c r="R565" s="42"/>
      <c r="S565" s="42"/>
      <c r="T565" s="42"/>
      <c r="U565" s="42"/>
      <c r="V565" s="42"/>
      <c r="W565" s="44"/>
      <c r="X565" s="42"/>
      <c r="Y565" s="42"/>
      <c r="Z565" s="42"/>
      <c r="AA565" s="44"/>
      <c r="AB565" s="44"/>
      <c r="AC565" s="44"/>
      <c r="AD565" s="42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</row>
    <row r="566" spans="1:55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26"/>
      <c r="M566" s="8"/>
      <c r="N566" s="8"/>
      <c r="O566" s="42"/>
      <c r="P566" s="42"/>
      <c r="Q566" s="42"/>
      <c r="R566" s="42"/>
      <c r="S566" s="42"/>
      <c r="T566" s="42"/>
      <c r="U566" s="42"/>
      <c r="V566" s="42"/>
      <c r="W566" s="44"/>
      <c r="X566" s="42"/>
      <c r="Y566" s="42"/>
      <c r="Z566" s="42"/>
      <c r="AA566" s="44"/>
      <c r="AB566" s="44"/>
      <c r="AC566" s="44"/>
      <c r="AD566" s="42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</row>
    <row r="567" spans="1:55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26"/>
      <c r="M567" s="8"/>
      <c r="N567" s="8"/>
      <c r="O567" s="42"/>
      <c r="P567" s="42"/>
      <c r="Q567" s="42"/>
      <c r="R567" s="42"/>
      <c r="S567" s="42"/>
      <c r="T567" s="42"/>
      <c r="U567" s="42"/>
      <c r="V567" s="42"/>
      <c r="W567" s="44"/>
      <c r="X567" s="42"/>
      <c r="Y567" s="42"/>
      <c r="Z567" s="42"/>
      <c r="AA567" s="44"/>
      <c r="AB567" s="44"/>
      <c r="AC567" s="44"/>
      <c r="AD567" s="42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</row>
    <row r="568" spans="1:55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26"/>
      <c r="M568" s="8"/>
      <c r="N568" s="8"/>
      <c r="O568" s="42"/>
      <c r="P568" s="42"/>
      <c r="Q568" s="42"/>
      <c r="R568" s="42"/>
      <c r="S568" s="42"/>
      <c r="T568" s="42"/>
      <c r="U568" s="42"/>
      <c r="V568" s="42"/>
      <c r="W568" s="44"/>
      <c r="X568" s="42"/>
      <c r="Y568" s="42"/>
      <c r="Z568" s="42"/>
      <c r="AA568" s="44"/>
      <c r="AB568" s="44"/>
      <c r="AC568" s="44"/>
      <c r="AD568" s="42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</row>
    <row r="569" spans="1:55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26"/>
      <c r="M569" s="8"/>
      <c r="N569" s="8"/>
      <c r="O569" s="42"/>
      <c r="P569" s="42"/>
      <c r="Q569" s="42"/>
      <c r="R569" s="42"/>
      <c r="S569" s="42"/>
      <c r="T569" s="42"/>
      <c r="U569" s="42"/>
      <c r="V569" s="42"/>
      <c r="W569" s="44"/>
      <c r="X569" s="42"/>
      <c r="Y569" s="42"/>
      <c r="Z569" s="42"/>
      <c r="AA569" s="44"/>
      <c r="AB569" s="44"/>
      <c r="AC569" s="44"/>
      <c r="AD569" s="42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</row>
    <row r="570" spans="1:55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26"/>
      <c r="M570" s="8"/>
      <c r="N570" s="8"/>
      <c r="O570" s="42"/>
      <c r="P570" s="42"/>
      <c r="Q570" s="42"/>
      <c r="R570" s="42"/>
      <c r="S570" s="42"/>
      <c r="T570" s="42"/>
      <c r="U570" s="42"/>
      <c r="V570" s="42"/>
      <c r="W570" s="44"/>
      <c r="X570" s="42"/>
      <c r="Y570" s="42"/>
      <c r="Z570" s="42"/>
      <c r="AA570" s="44"/>
      <c r="AB570" s="44"/>
      <c r="AC570" s="44"/>
      <c r="AD570" s="42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</row>
    <row r="571" spans="1:55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26"/>
      <c r="M571" s="8"/>
      <c r="N571" s="8"/>
      <c r="O571" s="42"/>
      <c r="P571" s="42"/>
      <c r="Q571" s="42"/>
      <c r="R571" s="42"/>
      <c r="S571" s="42"/>
      <c r="T571" s="42"/>
      <c r="U571" s="42"/>
      <c r="V571" s="42"/>
      <c r="W571" s="44"/>
      <c r="X571" s="42"/>
      <c r="Y571" s="42"/>
      <c r="Z571" s="42"/>
      <c r="AA571" s="44"/>
      <c r="AB571" s="44"/>
      <c r="AC571" s="44"/>
      <c r="AD571" s="42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</row>
    <row r="572" spans="1:55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26"/>
      <c r="M572" s="8"/>
      <c r="N572" s="8"/>
      <c r="O572" s="42"/>
      <c r="P572" s="42"/>
      <c r="Q572" s="42"/>
      <c r="R572" s="42"/>
      <c r="S572" s="42"/>
      <c r="T572" s="42"/>
      <c r="U572" s="42"/>
      <c r="V572" s="42"/>
      <c r="W572" s="44"/>
      <c r="X572" s="42"/>
      <c r="Y572" s="42"/>
      <c r="Z572" s="42"/>
      <c r="AA572" s="44"/>
      <c r="AB572" s="44"/>
      <c r="AC572" s="44"/>
      <c r="AD572" s="42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</row>
    <row r="573" spans="1:55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26"/>
      <c r="M573" s="8"/>
      <c r="N573" s="8"/>
      <c r="O573" s="42"/>
      <c r="P573" s="42"/>
      <c r="Q573" s="42"/>
      <c r="R573" s="42"/>
      <c r="S573" s="42"/>
      <c r="T573" s="42"/>
      <c r="U573" s="42"/>
      <c r="V573" s="42"/>
      <c r="W573" s="44"/>
      <c r="X573" s="42"/>
      <c r="Y573" s="42"/>
      <c r="Z573" s="42"/>
      <c r="AA573" s="44"/>
      <c r="AB573" s="44"/>
      <c r="AC573" s="44"/>
      <c r="AD573" s="42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</row>
    <row r="574" spans="1:55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26"/>
      <c r="M574" s="8"/>
      <c r="N574" s="8"/>
      <c r="O574" s="42"/>
      <c r="P574" s="42"/>
      <c r="Q574" s="42"/>
      <c r="R574" s="42"/>
      <c r="S574" s="42"/>
      <c r="T574" s="42"/>
      <c r="U574" s="42"/>
      <c r="V574" s="42"/>
      <c r="W574" s="44"/>
      <c r="X574" s="42"/>
      <c r="Y574" s="42"/>
      <c r="Z574" s="42"/>
      <c r="AA574" s="44"/>
      <c r="AB574" s="44"/>
      <c r="AC574" s="44"/>
      <c r="AD574" s="42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</row>
    <row r="575" spans="1:55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26"/>
      <c r="M575" s="8"/>
      <c r="N575" s="8"/>
      <c r="O575" s="42"/>
      <c r="P575" s="42"/>
      <c r="Q575" s="42"/>
      <c r="R575" s="42"/>
      <c r="S575" s="42"/>
      <c r="T575" s="42"/>
      <c r="U575" s="42"/>
      <c r="V575" s="42"/>
      <c r="W575" s="44"/>
      <c r="X575" s="42"/>
      <c r="Y575" s="42"/>
      <c r="Z575" s="42"/>
      <c r="AA575" s="44"/>
      <c r="AB575" s="44"/>
      <c r="AC575" s="44"/>
      <c r="AD575" s="42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</row>
    <row r="576" spans="1:55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26"/>
      <c r="M576" s="8"/>
      <c r="N576" s="8"/>
      <c r="O576" s="42"/>
      <c r="P576" s="42"/>
      <c r="Q576" s="42"/>
      <c r="R576" s="42"/>
      <c r="S576" s="42"/>
      <c r="T576" s="42"/>
      <c r="U576" s="42"/>
      <c r="V576" s="42"/>
      <c r="W576" s="44"/>
      <c r="X576" s="42"/>
      <c r="Y576" s="42"/>
      <c r="Z576" s="42"/>
      <c r="AA576" s="44"/>
      <c r="AB576" s="44"/>
      <c r="AC576" s="44"/>
      <c r="AD576" s="42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</row>
    <row r="577" spans="1:55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26"/>
      <c r="M577" s="8"/>
      <c r="N577" s="8"/>
      <c r="O577" s="42"/>
      <c r="P577" s="42"/>
      <c r="Q577" s="42"/>
      <c r="R577" s="42"/>
      <c r="S577" s="42"/>
      <c r="T577" s="42"/>
      <c r="U577" s="42"/>
      <c r="V577" s="42"/>
      <c r="W577" s="44"/>
      <c r="X577" s="42"/>
      <c r="Y577" s="42"/>
      <c r="Z577" s="42"/>
      <c r="AA577" s="44"/>
      <c r="AB577" s="44"/>
      <c r="AC577" s="44"/>
      <c r="AD577" s="42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</row>
    <row r="578" spans="1:55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26"/>
      <c r="M578" s="8"/>
      <c r="N578" s="8"/>
      <c r="O578" s="42"/>
      <c r="P578" s="42"/>
      <c r="Q578" s="42"/>
      <c r="R578" s="42"/>
      <c r="S578" s="42"/>
      <c r="T578" s="42"/>
      <c r="U578" s="42"/>
      <c r="V578" s="42"/>
      <c r="W578" s="44"/>
      <c r="X578" s="42"/>
      <c r="Y578" s="42"/>
      <c r="Z578" s="42"/>
      <c r="AA578" s="44"/>
      <c r="AB578" s="44"/>
      <c r="AC578" s="44"/>
      <c r="AD578" s="42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</row>
    <row r="579" spans="1:55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26"/>
      <c r="M579" s="8"/>
      <c r="N579" s="8"/>
      <c r="O579" s="42"/>
      <c r="P579" s="42"/>
      <c r="Q579" s="42"/>
      <c r="R579" s="42"/>
      <c r="S579" s="42"/>
      <c r="T579" s="42"/>
      <c r="U579" s="42"/>
      <c r="V579" s="42"/>
      <c r="W579" s="44"/>
      <c r="X579" s="42"/>
      <c r="Y579" s="42"/>
      <c r="Z579" s="42"/>
      <c r="AA579" s="44"/>
      <c r="AB579" s="44"/>
      <c r="AC579" s="44"/>
      <c r="AD579" s="42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</row>
    <row r="580" spans="1:55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26"/>
      <c r="M580" s="8"/>
      <c r="N580" s="8"/>
      <c r="O580" s="42"/>
      <c r="P580" s="42"/>
      <c r="Q580" s="42"/>
      <c r="R580" s="42"/>
      <c r="S580" s="42"/>
      <c r="T580" s="42"/>
      <c r="U580" s="42"/>
      <c r="V580" s="42"/>
      <c r="W580" s="44"/>
      <c r="X580" s="42"/>
      <c r="Y580" s="42"/>
      <c r="Z580" s="42"/>
      <c r="AA580" s="44"/>
      <c r="AB580" s="44"/>
      <c r="AC580" s="44"/>
      <c r="AD580" s="42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</row>
    <row r="581" spans="1:55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26"/>
      <c r="M581" s="8"/>
      <c r="N581" s="8"/>
      <c r="O581" s="42"/>
      <c r="P581" s="42"/>
      <c r="Q581" s="42"/>
      <c r="R581" s="42"/>
      <c r="S581" s="42"/>
      <c r="T581" s="42"/>
      <c r="U581" s="42"/>
      <c r="V581" s="42"/>
      <c r="W581" s="44"/>
      <c r="X581" s="42"/>
      <c r="Y581" s="42"/>
      <c r="Z581" s="42"/>
      <c r="AA581" s="44"/>
      <c r="AB581" s="44"/>
      <c r="AC581" s="44"/>
      <c r="AD581" s="42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</row>
    <row r="582" spans="1:55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26"/>
      <c r="M582" s="8"/>
      <c r="N582" s="8"/>
      <c r="O582" s="42"/>
      <c r="P582" s="42"/>
      <c r="Q582" s="42"/>
      <c r="R582" s="42"/>
      <c r="S582" s="42"/>
      <c r="T582" s="42"/>
      <c r="U582" s="42"/>
      <c r="V582" s="42"/>
      <c r="W582" s="44"/>
      <c r="X582" s="42"/>
      <c r="Y582" s="42"/>
      <c r="Z582" s="42"/>
      <c r="AA582" s="44"/>
      <c r="AB582" s="44"/>
      <c r="AC582" s="44"/>
      <c r="AD582" s="42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</row>
    <row r="583" spans="1:55" ht="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26"/>
      <c r="M583" s="8"/>
      <c r="N583" s="8"/>
      <c r="O583" s="42"/>
      <c r="P583" s="42"/>
      <c r="Q583" s="42"/>
      <c r="R583" s="42"/>
      <c r="S583" s="42"/>
      <c r="T583" s="42"/>
      <c r="U583" s="42"/>
      <c r="V583" s="42"/>
      <c r="W583" s="44"/>
      <c r="X583" s="42"/>
      <c r="Y583" s="42"/>
      <c r="Z583" s="42"/>
      <c r="AA583" s="44"/>
      <c r="AB583" s="44"/>
      <c r="AC583" s="44"/>
      <c r="AD583" s="42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</row>
    <row r="584" spans="1:55" ht="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26"/>
      <c r="M584" s="8"/>
      <c r="N584" s="8"/>
      <c r="O584" s="42"/>
      <c r="P584" s="42"/>
      <c r="Q584" s="42"/>
      <c r="R584" s="42"/>
      <c r="S584" s="42"/>
      <c r="T584" s="42"/>
      <c r="U584" s="42"/>
      <c r="V584" s="42"/>
      <c r="W584" s="44"/>
      <c r="X584" s="42"/>
      <c r="Y584" s="42"/>
      <c r="Z584" s="42"/>
      <c r="AA584" s="44"/>
      <c r="AB584" s="44"/>
      <c r="AC584" s="44"/>
      <c r="AD584" s="42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</row>
    <row r="585" spans="1:55" ht="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26"/>
      <c r="M585" s="8"/>
      <c r="N585" s="8"/>
      <c r="O585" s="42"/>
      <c r="P585" s="42"/>
      <c r="Q585" s="42"/>
      <c r="R585" s="42"/>
      <c r="S585" s="42"/>
      <c r="T585" s="42"/>
      <c r="U585" s="42"/>
      <c r="V585" s="42"/>
      <c r="W585" s="44"/>
      <c r="X585" s="42"/>
      <c r="Y585" s="42"/>
      <c r="Z585" s="42"/>
      <c r="AA585" s="44"/>
      <c r="AB585" s="44"/>
      <c r="AC585" s="44"/>
      <c r="AD585" s="42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</row>
    <row r="586" spans="1:55" ht="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26"/>
      <c r="M586" s="8"/>
      <c r="N586" s="8"/>
      <c r="O586" s="42"/>
      <c r="P586" s="42"/>
      <c r="Q586" s="42"/>
      <c r="R586" s="42"/>
      <c r="S586" s="42"/>
      <c r="T586" s="42"/>
      <c r="U586" s="42"/>
      <c r="V586" s="42"/>
      <c r="W586" s="44"/>
      <c r="X586" s="42"/>
      <c r="Y586" s="42"/>
      <c r="Z586" s="42"/>
      <c r="AA586" s="44"/>
      <c r="AB586" s="44"/>
      <c r="AC586" s="44"/>
      <c r="AD586" s="42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</row>
    <row r="587" spans="1:55" ht="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26"/>
      <c r="M587" s="8"/>
      <c r="N587" s="8"/>
      <c r="O587" s="42"/>
      <c r="P587" s="42"/>
      <c r="Q587" s="42"/>
      <c r="R587" s="42"/>
      <c r="S587" s="42"/>
      <c r="T587" s="42"/>
      <c r="U587" s="42"/>
      <c r="V587" s="42"/>
      <c r="W587" s="44"/>
      <c r="X587" s="42"/>
      <c r="Y587" s="42"/>
      <c r="Z587" s="42"/>
      <c r="AA587" s="44"/>
      <c r="AB587" s="44"/>
      <c r="AC587" s="44"/>
      <c r="AD587" s="42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</row>
    <row r="588" spans="1:55" ht="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26"/>
      <c r="M588" s="8"/>
      <c r="N588" s="8"/>
      <c r="O588" s="42"/>
      <c r="P588" s="42"/>
      <c r="Q588" s="42"/>
      <c r="R588" s="42"/>
      <c r="S588" s="42"/>
      <c r="T588" s="42"/>
      <c r="U588" s="42"/>
      <c r="V588" s="42"/>
      <c r="W588" s="44"/>
      <c r="X588" s="42"/>
      <c r="Y588" s="42"/>
      <c r="Z588" s="42"/>
      <c r="AA588" s="44"/>
      <c r="AB588" s="44"/>
      <c r="AC588" s="44"/>
      <c r="AD588" s="42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</row>
    <row r="589" spans="1:55" ht="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26"/>
      <c r="M589" s="8"/>
      <c r="N589" s="8"/>
      <c r="O589" s="42"/>
      <c r="P589" s="42"/>
      <c r="Q589" s="42"/>
      <c r="R589" s="42"/>
      <c r="S589" s="42"/>
      <c r="T589" s="42"/>
      <c r="U589" s="42"/>
      <c r="V589" s="42"/>
      <c r="W589" s="44"/>
      <c r="X589" s="42"/>
      <c r="Y589" s="42"/>
      <c r="Z589" s="42"/>
      <c r="AA589" s="44"/>
      <c r="AB589" s="44"/>
      <c r="AC589" s="44"/>
      <c r="AD589" s="42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</row>
    <row r="590" spans="1:55" ht="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26"/>
      <c r="M590" s="8"/>
      <c r="N590" s="8"/>
      <c r="O590" s="42"/>
      <c r="P590" s="42"/>
      <c r="Q590" s="42"/>
      <c r="R590" s="42"/>
      <c r="S590" s="42"/>
      <c r="T590" s="42"/>
      <c r="U590" s="42"/>
      <c r="V590" s="42"/>
      <c r="W590" s="44"/>
      <c r="X590" s="42"/>
      <c r="Y590" s="42"/>
      <c r="Z590" s="42"/>
      <c r="AA590" s="44"/>
      <c r="AB590" s="44"/>
      <c r="AC590" s="44"/>
      <c r="AD590" s="42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</row>
    <row r="591" spans="1:55" ht="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26"/>
      <c r="M591" s="8"/>
      <c r="N591" s="8"/>
      <c r="O591" s="42"/>
      <c r="P591" s="42"/>
      <c r="Q591" s="42"/>
      <c r="R591" s="42"/>
      <c r="S591" s="42"/>
      <c r="T591" s="42"/>
      <c r="U591" s="42"/>
      <c r="V591" s="42"/>
      <c r="W591" s="44"/>
      <c r="X591" s="42"/>
      <c r="Y591" s="42"/>
      <c r="Z591" s="42"/>
      <c r="AA591" s="44"/>
      <c r="AB591" s="44"/>
      <c r="AC591" s="44"/>
      <c r="AD591" s="42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</row>
    <row r="592" spans="1:55" ht="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26"/>
      <c r="M592" s="8"/>
      <c r="N592" s="8"/>
      <c r="O592" s="42"/>
      <c r="P592" s="42"/>
      <c r="Q592" s="42"/>
      <c r="R592" s="42"/>
      <c r="S592" s="42"/>
      <c r="T592" s="42"/>
      <c r="U592" s="42"/>
      <c r="V592" s="42"/>
      <c r="W592" s="44"/>
      <c r="X592" s="42"/>
      <c r="Y592" s="42"/>
      <c r="Z592" s="42"/>
      <c r="AA592" s="44"/>
      <c r="AB592" s="44"/>
      <c r="AC592" s="44"/>
      <c r="AD592" s="42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</row>
    <row r="593" spans="1:55" ht="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26"/>
      <c r="M593" s="8"/>
      <c r="N593" s="8"/>
      <c r="O593" s="42"/>
      <c r="P593" s="42"/>
      <c r="Q593" s="42"/>
      <c r="R593" s="42"/>
      <c r="S593" s="42"/>
      <c r="T593" s="42"/>
      <c r="U593" s="42"/>
      <c r="V593" s="42"/>
      <c r="W593" s="44"/>
      <c r="X593" s="42"/>
      <c r="Y593" s="42"/>
      <c r="Z593" s="42"/>
      <c r="AA593" s="44"/>
      <c r="AB593" s="44"/>
      <c r="AC593" s="44"/>
      <c r="AD593" s="42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</row>
    <row r="594" spans="1:55" ht="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26"/>
      <c r="M594" s="8"/>
      <c r="N594" s="8"/>
      <c r="O594" s="42"/>
      <c r="P594" s="42"/>
      <c r="Q594" s="42"/>
      <c r="R594" s="42"/>
      <c r="S594" s="42"/>
      <c r="T594" s="42"/>
      <c r="U594" s="42"/>
      <c r="V594" s="42"/>
      <c r="W594" s="44"/>
      <c r="X594" s="42"/>
      <c r="Y594" s="42"/>
      <c r="Z594" s="42"/>
      <c r="AA594" s="44"/>
      <c r="AB594" s="44"/>
      <c r="AC594" s="44"/>
      <c r="AD594" s="42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</row>
    <row r="595" spans="1:55" ht="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26"/>
      <c r="M595" s="8"/>
      <c r="N595" s="8"/>
      <c r="O595" s="42"/>
      <c r="P595" s="42"/>
      <c r="Q595" s="42"/>
      <c r="R595" s="42"/>
      <c r="S595" s="42"/>
      <c r="T595" s="42"/>
      <c r="U595" s="42"/>
      <c r="V595" s="42"/>
      <c r="W595" s="44"/>
      <c r="X595" s="42"/>
      <c r="Y595" s="42"/>
      <c r="Z595" s="42"/>
      <c r="AA595" s="44"/>
      <c r="AB595" s="44"/>
      <c r="AC595" s="44"/>
      <c r="AD595" s="42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</row>
    <row r="596" spans="1:55" ht="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26"/>
      <c r="M596" s="8"/>
      <c r="N596" s="8"/>
      <c r="O596" s="42"/>
      <c r="P596" s="42"/>
      <c r="Q596" s="42"/>
      <c r="R596" s="42"/>
      <c r="S596" s="42"/>
      <c r="T596" s="42"/>
      <c r="U596" s="42"/>
      <c r="V596" s="42"/>
      <c r="W596" s="44"/>
      <c r="X596" s="42"/>
      <c r="Y596" s="42"/>
      <c r="Z596" s="42"/>
      <c r="AA596" s="44"/>
      <c r="AB596" s="44"/>
      <c r="AC596" s="44"/>
      <c r="AD596" s="42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</row>
    <row r="597" spans="1:55" ht="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26"/>
      <c r="M597" s="8"/>
      <c r="N597" s="8"/>
      <c r="O597" s="42"/>
      <c r="P597" s="42"/>
      <c r="Q597" s="42"/>
      <c r="R597" s="42"/>
      <c r="S597" s="42"/>
      <c r="T597" s="42"/>
      <c r="U597" s="42"/>
      <c r="V597" s="42"/>
      <c r="W597" s="44"/>
      <c r="X597" s="42"/>
      <c r="Y597" s="42"/>
      <c r="Z597" s="42"/>
      <c r="AA597" s="44"/>
      <c r="AB597" s="44"/>
      <c r="AC597" s="44"/>
      <c r="AD597" s="42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</row>
    <row r="598" spans="1:55" ht="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26"/>
      <c r="M598" s="8"/>
      <c r="N598" s="8"/>
      <c r="O598" s="42"/>
      <c r="P598" s="42"/>
      <c r="Q598" s="42"/>
      <c r="R598" s="42"/>
      <c r="S598" s="42"/>
      <c r="T598" s="42"/>
      <c r="U598" s="42"/>
      <c r="V598" s="42"/>
      <c r="W598" s="44"/>
      <c r="X598" s="42"/>
      <c r="Y598" s="42"/>
      <c r="Z598" s="42"/>
      <c r="AA598" s="44"/>
      <c r="AB598" s="44"/>
      <c r="AC598" s="44"/>
      <c r="AD598" s="42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</row>
    <row r="599" spans="1:55" ht="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26"/>
      <c r="M599" s="8"/>
      <c r="N599" s="8"/>
      <c r="O599" s="42"/>
      <c r="P599" s="42"/>
      <c r="Q599" s="42"/>
      <c r="R599" s="42"/>
      <c r="S599" s="42"/>
      <c r="T599" s="42"/>
      <c r="U599" s="42"/>
      <c r="V599" s="42"/>
      <c r="W599" s="44"/>
      <c r="X599" s="42"/>
      <c r="Y599" s="42"/>
      <c r="Z599" s="42"/>
      <c r="AA599" s="44"/>
      <c r="AB599" s="44"/>
      <c r="AC599" s="44"/>
      <c r="AD599" s="42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</row>
    <row r="600" spans="1:55" ht="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26"/>
      <c r="M600" s="8"/>
      <c r="N600" s="8"/>
      <c r="O600" s="42"/>
      <c r="P600" s="42"/>
      <c r="Q600" s="42"/>
      <c r="R600" s="42"/>
      <c r="S600" s="42"/>
      <c r="T600" s="42"/>
      <c r="U600" s="42"/>
      <c r="V600" s="42"/>
      <c r="W600" s="44"/>
      <c r="X600" s="42"/>
      <c r="Y600" s="42"/>
      <c r="Z600" s="42"/>
      <c r="AA600" s="44"/>
      <c r="AB600" s="44"/>
      <c r="AC600" s="44"/>
      <c r="AD600" s="42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</row>
    <row r="601" spans="1:55" ht="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26"/>
      <c r="M601" s="8"/>
      <c r="N601" s="8"/>
      <c r="O601" s="42"/>
      <c r="P601" s="42"/>
      <c r="Q601" s="42"/>
      <c r="R601" s="42"/>
      <c r="S601" s="42"/>
      <c r="T601" s="42"/>
      <c r="U601" s="42"/>
      <c r="V601" s="42"/>
      <c r="W601" s="44"/>
      <c r="X601" s="42"/>
      <c r="Y601" s="42"/>
      <c r="Z601" s="42"/>
      <c r="AA601" s="44"/>
      <c r="AB601" s="44"/>
      <c r="AC601" s="44"/>
      <c r="AD601" s="42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</row>
    <row r="602" spans="1:55" ht="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26"/>
      <c r="M602" s="8"/>
      <c r="N602" s="8"/>
      <c r="O602" s="42"/>
      <c r="P602" s="42"/>
      <c r="Q602" s="42"/>
      <c r="R602" s="42"/>
      <c r="S602" s="42"/>
      <c r="T602" s="42"/>
      <c r="U602" s="42"/>
      <c r="V602" s="42"/>
      <c r="W602" s="44"/>
      <c r="X602" s="42"/>
      <c r="Y602" s="42"/>
      <c r="Z602" s="42"/>
      <c r="AA602" s="44"/>
      <c r="AB602" s="44"/>
      <c r="AC602" s="44"/>
      <c r="AD602" s="42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</row>
    <row r="603" spans="1:55" ht="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26"/>
      <c r="M603" s="8"/>
      <c r="N603" s="8"/>
      <c r="O603" s="42"/>
      <c r="P603" s="42"/>
      <c r="Q603" s="42"/>
      <c r="R603" s="42"/>
      <c r="S603" s="42"/>
      <c r="T603" s="42"/>
      <c r="U603" s="42"/>
      <c r="V603" s="42"/>
      <c r="W603" s="44"/>
      <c r="X603" s="42"/>
      <c r="Y603" s="42"/>
      <c r="Z603" s="42"/>
      <c r="AA603" s="44"/>
      <c r="AB603" s="44"/>
      <c r="AC603" s="44"/>
      <c r="AD603" s="42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</row>
    <row r="604" spans="1:55" ht="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26"/>
      <c r="M604" s="8"/>
      <c r="N604" s="8"/>
      <c r="O604" s="42"/>
      <c r="P604" s="42"/>
      <c r="Q604" s="42"/>
      <c r="R604" s="42"/>
      <c r="S604" s="42"/>
      <c r="T604" s="42"/>
      <c r="U604" s="42"/>
      <c r="V604" s="42"/>
      <c r="W604" s="44"/>
      <c r="X604" s="42"/>
      <c r="Y604" s="42"/>
      <c r="Z604" s="42"/>
      <c r="AA604" s="44"/>
      <c r="AB604" s="44"/>
      <c r="AC604" s="44"/>
      <c r="AD604" s="42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</row>
    <row r="605" spans="1:55" ht="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26"/>
      <c r="M605" s="8"/>
      <c r="N605" s="8"/>
      <c r="O605" s="42"/>
      <c r="P605" s="42"/>
      <c r="Q605" s="42"/>
      <c r="R605" s="42"/>
      <c r="S605" s="42"/>
      <c r="T605" s="42"/>
      <c r="U605" s="42"/>
      <c r="V605" s="42"/>
      <c r="W605" s="44"/>
      <c r="X605" s="42"/>
      <c r="Y605" s="42"/>
      <c r="Z605" s="42"/>
      <c r="AA605" s="44"/>
      <c r="AB605" s="44"/>
      <c r="AC605" s="44"/>
      <c r="AD605" s="42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</row>
    <row r="606" spans="1:55" ht="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26"/>
      <c r="M606" s="8"/>
      <c r="N606" s="8"/>
      <c r="O606" s="42"/>
      <c r="P606" s="42"/>
      <c r="Q606" s="42"/>
      <c r="R606" s="42"/>
      <c r="S606" s="42"/>
      <c r="T606" s="42"/>
      <c r="U606" s="42"/>
      <c r="V606" s="42"/>
      <c r="W606" s="44"/>
      <c r="X606" s="42"/>
      <c r="Y606" s="42"/>
      <c r="Z606" s="42"/>
      <c r="AA606" s="44"/>
      <c r="AB606" s="44"/>
      <c r="AC606" s="44"/>
      <c r="AD606" s="42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</row>
    <row r="607" spans="1:55" ht="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26"/>
      <c r="M607" s="8"/>
      <c r="N607" s="8"/>
      <c r="O607" s="42"/>
      <c r="P607" s="42"/>
      <c r="Q607" s="42"/>
      <c r="R607" s="42"/>
      <c r="S607" s="42"/>
      <c r="T607" s="42"/>
      <c r="U607" s="42"/>
      <c r="V607" s="42"/>
      <c r="W607" s="44"/>
      <c r="X607" s="42"/>
      <c r="Y607" s="42"/>
      <c r="Z607" s="42"/>
      <c r="AA607" s="44"/>
      <c r="AB607" s="44"/>
      <c r="AC607" s="44"/>
      <c r="AD607" s="42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</row>
    <row r="608" spans="1:55" ht="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26"/>
      <c r="M608" s="8"/>
      <c r="N608" s="8"/>
      <c r="O608" s="42"/>
      <c r="P608" s="42"/>
      <c r="Q608" s="42"/>
      <c r="R608" s="42"/>
      <c r="S608" s="42"/>
      <c r="T608" s="42"/>
      <c r="U608" s="42"/>
      <c r="V608" s="42"/>
      <c r="W608" s="44"/>
      <c r="X608" s="42"/>
      <c r="Y608" s="42"/>
      <c r="Z608" s="42"/>
      <c r="AA608" s="44"/>
      <c r="AB608" s="44"/>
      <c r="AC608" s="44"/>
      <c r="AD608" s="42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</row>
    <row r="609" spans="1:55" ht="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26"/>
      <c r="M609" s="8"/>
      <c r="N609" s="8"/>
      <c r="O609" s="42"/>
      <c r="P609" s="42"/>
      <c r="Q609" s="42"/>
      <c r="R609" s="42"/>
      <c r="S609" s="42"/>
      <c r="T609" s="42"/>
      <c r="U609" s="42"/>
      <c r="V609" s="42"/>
      <c r="W609" s="44"/>
      <c r="X609" s="42"/>
      <c r="Y609" s="42"/>
      <c r="Z609" s="42"/>
      <c r="AA609" s="44"/>
      <c r="AB609" s="44"/>
      <c r="AC609" s="44"/>
      <c r="AD609" s="42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</row>
    <row r="610" spans="1:55" ht="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26"/>
      <c r="M610" s="8"/>
      <c r="N610" s="8"/>
      <c r="O610" s="42"/>
      <c r="P610" s="42"/>
      <c r="Q610" s="42"/>
      <c r="R610" s="42"/>
      <c r="S610" s="42"/>
      <c r="T610" s="42"/>
      <c r="U610" s="42"/>
      <c r="V610" s="42"/>
      <c r="W610" s="44"/>
      <c r="X610" s="42"/>
      <c r="Y610" s="42"/>
      <c r="Z610" s="42"/>
      <c r="AA610" s="44"/>
      <c r="AB610" s="44"/>
      <c r="AC610" s="44"/>
      <c r="AD610" s="42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</row>
    <row r="611" spans="1:55" ht="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26"/>
      <c r="M611" s="8"/>
      <c r="N611" s="8"/>
      <c r="O611" s="42"/>
      <c r="P611" s="42"/>
      <c r="Q611" s="42"/>
      <c r="R611" s="42"/>
      <c r="S611" s="42"/>
      <c r="T611" s="42"/>
      <c r="U611" s="42"/>
      <c r="V611" s="42"/>
      <c r="W611" s="44"/>
      <c r="X611" s="42"/>
      <c r="Y611" s="42"/>
      <c r="Z611" s="42"/>
      <c r="AA611" s="44"/>
      <c r="AB611" s="44"/>
      <c r="AC611" s="44"/>
      <c r="AD611" s="42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</row>
    <row r="612" spans="1:55" ht="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26"/>
      <c r="M612" s="8"/>
      <c r="N612" s="8"/>
      <c r="O612" s="42"/>
      <c r="P612" s="42"/>
      <c r="Q612" s="42"/>
      <c r="R612" s="42"/>
      <c r="S612" s="42"/>
      <c r="T612" s="42"/>
      <c r="U612" s="42"/>
      <c r="V612" s="42"/>
      <c r="W612" s="44"/>
      <c r="X612" s="42"/>
      <c r="Y612" s="42"/>
      <c r="Z612" s="42"/>
      <c r="AA612" s="44"/>
      <c r="AB612" s="44"/>
      <c r="AC612" s="44"/>
      <c r="AD612" s="42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</row>
    <row r="613" spans="1:55" ht="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26"/>
      <c r="M613" s="8"/>
      <c r="N613" s="8"/>
      <c r="O613" s="42"/>
      <c r="P613" s="42"/>
      <c r="Q613" s="42"/>
      <c r="R613" s="42"/>
      <c r="S613" s="42"/>
      <c r="T613" s="42"/>
      <c r="U613" s="42"/>
      <c r="V613" s="42"/>
      <c r="W613" s="44"/>
      <c r="X613" s="42"/>
      <c r="Y613" s="42"/>
      <c r="Z613" s="42"/>
      <c r="AA613" s="44"/>
      <c r="AB613" s="44"/>
      <c r="AC613" s="44"/>
      <c r="AD613" s="42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</row>
    <row r="614" spans="1:55" ht="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26"/>
      <c r="M614" s="8"/>
      <c r="N614" s="8"/>
      <c r="O614" s="42"/>
      <c r="P614" s="42"/>
      <c r="Q614" s="42"/>
      <c r="R614" s="42"/>
      <c r="S614" s="42"/>
      <c r="T614" s="42"/>
      <c r="U614" s="42"/>
      <c r="V614" s="42"/>
      <c r="W614" s="44"/>
      <c r="X614" s="42"/>
      <c r="Y614" s="42"/>
      <c r="Z614" s="42"/>
      <c r="AA614" s="44"/>
      <c r="AB614" s="44"/>
      <c r="AC614" s="44"/>
      <c r="AD614" s="42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</row>
    <row r="615" spans="1:55" ht="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26"/>
      <c r="M615" s="8"/>
      <c r="N615" s="8"/>
      <c r="O615" s="42"/>
      <c r="P615" s="42"/>
      <c r="Q615" s="42"/>
      <c r="R615" s="42"/>
      <c r="S615" s="42"/>
      <c r="T615" s="42"/>
      <c r="U615" s="42"/>
      <c r="V615" s="42"/>
      <c r="W615" s="44"/>
      <c r="X615" s="42"/>
      <c r="Y615" s="42"/>
      <c r="Z615" s="42"/>
      <c r="AA615" s="44"/>
      <c r="AB615" s="44"/>
      <c r="AC615" s="44"/>
      <c r="AD615" s="42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</row>
    <row r="616" spans="1:55" ht="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26"/>
      <c r="M616" s="8"/>
      <c r="N616" s="8"/>
      <c r="O616" s="42"/>
      <c r="P616" s="42"/>
      <c r="Q616" s="42"/>
      <c r="R616" s="42"/>
      <c r="S616" s="42"/>
      <c r="T616" s="42"/>
      <c r="U616" s="42"/>
      <c r="V616" s="42"/>
      <c r="W616" s="44"/>
      <c r="X616" s="42"/>
      <c r="Y616" s="42"/>
      <c r="Z616" s="42"/>
      <c r="AA616" s="44"/>
      <c r="AB616" s="44"/>
      <c r="AC616" s="44"/>
      <c r="AD616" s="42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</row>
    <row r="617" spans="1:55" ht="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26"/>
      <c r="M617" s="8"/>
      <c r="N617" s="8"/>
      <c r="O617" s="42"/>
      <c r="P617" s="42"/>
      <c r="Q617" s="42"/>
      <c r="R617" s="42"/>
      <c r="S617" s="42"/>
      <c r="T617" s="42"/>
      <c r="U617" s="42"/>
      <c r="V617" s="42"/>
      <c r="W617" s="44"/>
      <c r="X617" s="42"/>
      <c r="Y617" s="42"/>
      <c r="Z617" s="42"/>
      <c r="AA617" s="44"/>
      <c r="AB617" s="44"/>
      <c r="AC617" s="44"/>
      <c r="AD617" s="42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</row>
    <row r="618" spans="1:55" ht="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26"/>
      <c r="M618" s="8"/>
      <c r="N618" s="8"/>
      <c r="O618" s="42"/>
      <c r="P618" s="42"/>
      <c r="Q618" s="42"/>
      <c r="R618" s="42"/>
      <c r="S618" s="42"/>
      <c r="T618" s="42"/>
      <c r="U618" s="42"/>
      <c r="V618" s="42"/>
      <c r="W618" s="44"/>
      <c r="X618" s="42"/>
      <c r="Y618" s="42"/>
      <c r="Z618" s="42"/>
      <c r="AA618" s="44"/>
      <c r="AB618" s="44"/>
      <c r="AC618" s="44"/>
      <c r="AD618" s="42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</row>
    <row r="619" spans="1:55" ht="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26"/>
      <c r="M619" s="8"/>
      <c r="N619" s="8"/>
      <c r="O619" s="42"/>
      <c r="P619" s="42"/>
      <c r="Q619" s="42"/>
      <c r="R619" s="42"/>
      <c r="S619" s="42"/>
      <c r="T619" s="42"/>
      <c r="U619" s="42"/>
      <c r="V619" s="42"/>
      <c r="W619" s="44"/>
      <c r="X619" s="42"/>
      <c r="Y619" s="42"/>
      <c r="Z619" s="42"/>
      <c r="AA619" s="44"/>
      <c r="AB619" s="44"/>
      <c r="AC619" s="44"/>
      <c r="AD619" s="42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</row>
    <row r="620" spans="1:55" ht="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26"/>
      <c r="M620" s="8"/>
      <c r="N620" s="8"/>
      <c r="O620" s="42"/>
      <c r="P620" s="42"/>
      <c r="Q620" s="42"/>
      <c r="R620" s="42"/>
      <c r="S620" s="42"/>
      <c r="T620" s="42"/>
      <c r="U620" s="42"/>
      <c r="V620" s="42"/>
      <c r="W620" s="44"/>
      <c r="X620" s="42"/>
      <c r="Y620" s="42"/>
      <c r="Z620" s="42"/>
      <c r="AA620" s="44"/>
      <c r="AB620" s="44"/>
      <c r="AC620" s="44"/>
      <c r="AD620" s="42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</row>
    <row r="621" spans="1:55" ht="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26"/>
      <c r="M621" s="8"/>
      <c r="N621" s="8"/>
      <c r="O621" s="42"/>
      <c r="P621" s="42"/>
      <c r="Q621" s="42"/>
      <c r="R621" s="42"/>
      <c r="S621" s="42"/>
      <c r="T621" s="42"/>
      <c r="U621" s="42"/>
      <c r="V621" s="42"/>
      <c r="W621" s="44"/>
      <c r="X621" s="42"/>
      <c r="Y621" s="42"/>
      <c r="Z621" s="42"/>
      <c r="AA621" s="44"/>
      <c r="AB621" s="44"/>
      <c r="AC621" s="44"/>
      <c r="AD621" s="42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</row>
    <row r="622" spans="1:55" ht="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26"/>
      <c r="M622" s="8"/>
      <c r="N622" s="8"/>
      <c r="O622" s="42"/>
      <c r="P622" s="42"/>
      <c r="Q622" s="42"/>
      <c r="R622" s="42"/>
      <c r="S622" s="42"/>
      <c r="T622" s="42"/>
      <c r="U622" s="42"/>
      <c r="V622" s="42"/>
      <c r="W622" s="44"/>
      <c r="X622" s="42"/>
      <c r="Y622" s="42"/>
      <c r="Z622" s="42"/>
      <c r="AA622" s="44"/>
      <c r="AB622" s="44"/>
      <c r="AC622" s="44"/>
      <c r="AD622" s="42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</row>
    <row r="623" spans="1:55" ht="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26"/>
      <c r="M623" s="8"/>
      <c r="N623" s="8"/>
      <c r="O623" s="42"/>
      <c r="P623" s="42"/>
      <c r="Q623" s="42"/>
      <c r="R623" s="42"/>
      <c r="S623" s="42"/>
      <c r="T623" s="42"/>
      <c r="U623" s="42"/>
      <c r="V623" s="42"/>
      <c r="W623" s="44"/>
      <c r="X623" s="42"/>
      <c r="Y623" s="42"/>
      <c r="Z623" s="42"/>
      <c r="AA623" s="44"/>
      <c r="AB623" s="44"/>
      <c r="AC623" s="44"/>
      <c r="AD623" s="42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</row>
    <row r="624" spans="1:55" ht="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26"/>
      <c r="M624" s="8"/>
      <c r="N624" s="8"/>
      <c r="O624" s="42"/>
      <c r="P624" s="42"/>
      <c r="Q624" s="42"/>
      <c r="R624" s="42"/>
      <c r="S624" s="42"/>
      <c r="T624" s="42"/>
      <c r="U624" s="42"/>
      <c r="V624" s="42"/>
      <c r="W624" s="44"/>
      <c r="X624" s="42"/>
      <c r="Y624" s="42"/>
      <c r="Z624" s="42"/>
      <c r="AA624" s="44"/>
      <c r="AB624" s="44"/>
      <c r="AC624" s="44"/>
      <c r="AD624" s="42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</row>
    <row r="625" spans="1:55" ht="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26"/>
      <c r="M625" s="8"/>
      <c r="N625" s="8"/>
      <c r="O625" s="42"/>
      <c r="P625" s="42"/>
      <c r="Q625" s="42"/>
      <c r="R625" s="42"/>
      <c r="S625" s="42"/>
      <c r="T625" s="42"/>
      <c r="U625" s="42"/>
      <c r="V625" s="42"/>
      <c r="W625" s="44"/>
      <c r="X625" s="42"/>
      <c r="Y625" s="42"/>
      <c r="Z625" s="42"/>
      <c r="AA625" s="44"/>
      <c r="AB625" s="44"/>
      <c r="AC625" s="44"/>
      <c r="AD625" s="42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</row>
    <row r="626" spans="1:55" ht="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26"/>
      <c r="M626" s="8"/>
      <c r="N626" s="8"/>
      <c r="O626" s="42"/>
      <c r="P626" s="42"/>
      <c r="Q626" s="42"/>
      <c r="R626" s="42"/>
      <c r="S626" s="42"/>
      <c r="T626" s="42"/>
      <c r="U626" s="42"/>
      <c r="V626" s="42"/>
      <c r="W626" s="44"/>
      <c r="X626" s="42"/>
      <c r="Y626" s="42"/>
      <c r="Z626" s="42"/>
      <c r="AA626" s="44"/>
      <c r="AB626" s="44"/>
      <c r="AC626" s="44"/>
      <c r="AD626" s="42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</row>
    <row r="627" spans="1:55" ht="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26"/>
      <c r="M627" s="8"/>
      <c r="N627" s="8"/>
      <c r="O627" s="42"/>
      <c r="P627" s="42"/>
      <c r="Q627" s="42"/>
      <c r="R627" s="42"/>
      <c r="S627" s="42"/>
      <c r="T627" s="42"/>
      <c r="U627" s="42"/>
      <c r="V627" s="42"/>
      <c r="W627" s="44"/>
      <c r="X627" s="42"/>
      <c r="Y627" s="42"/>
      <c r="Z627" s="42"/>
      <c r="AA627" s="44"/>
      <c r="AB627" s="44"/>
      <c r="AC627" s="44"/>
      <c r="AD627" s="42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</row>
    <row r="628" spans="1:55" ht="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26"/>
      <c r="M628" s="8"/>
      <c r="N628" s="8"/>
      <c r="O628" s="42"/>
      <c r="P628" s="42"/>
      <c r="Q628" s="42"/>
      <c r="R628" s="42"/>
      <c r="S628" s="42"/>
      <c r="T628" s="42"/>
      <c r="U628" s="42"/>
      <c r="V628" s="42"/>
      <c r="W628" s="44"/>
      <c r="X628" s="42"/>
      <c r="Y628" s="42"/>
      <c r="Z628" s="42"/>
      <c r="AA628" s="44"/>
      <c r="AB628" s="44"/>
      <c r="AC628" s="44"/>
      <c r="AD628" s="42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</row>
    <row r="629" spans="1:55" ht="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26"/>
      <c r="M629" s="8"/>
      <c r="N629" s="8"/>
      <c r="O629" s="42"/>
      <c r="P629" s="42"/>
      <c r="Q629" s="42"/>
      <c r="R629" s="42"/>
      <c r="S629" s="42"/>
      <c r="T629" s="42"/>
      <c r="U629" s="42"/>
      <c r="V629" s="42"/>
      <c r="W629" s="44"/>
      <c r="X629" s="42"/>
      <c r="Y629" s="42"/>
      <c r="Z629" s="42"/>
      <c r="AA629" s="44"/>
      <c r="AB629" s="44"/>
      <c r="AC629" s="44"/>
      <c r="AD629" s="42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</row>
    <row r="630" spans="1:55" ht="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26"/>
      <c r="M630" s="8"/>
      <c r="N630" s="8"/>
      <c r="O630" s="42"/>
      <c r="P630" s="42"/>
      <c r="Q630" s="42"/>
      <c r="R630" s="42"/>
      <c r="S630" s="42"/>
      <c r="T630" s="42"/>
      <c r="U630" s="42"/>
      <c r="V630" s="42"/>
      <c r="W630" s="44"/>
      <c r="X630" s="42"/>
      <c r="Y630" s="42"/>
      <c r="Z630" s="42"/>
      <c r="AA630" s="44"/>
      <c r="AB630" s="44"/>
      <c r="AC630" s="44"/>
      <c r="AD630" s="42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</row>
    <row r="631" spans="1:55" ht="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26"/>
      <c r="M631" s="8"/>
      <c r="N631" s="8"/>
      <c r="O631" s="42"/>
      <c r="P631" s="42"/>
      <c r="Q631" s="42"/>
      <c r="R631" s="42"/>
      <c r="S631" s="42"/>
      <c r="T631" s="42"/>
      <c r="U631" s="42"/>
      <c r="V631" s="42"/>
      <c r="W631" s="44"/>
      <c r="X631" s="42"/>
      <c r="Y631" s="42"/>
      <c r="Z631" s="42"/>
      <c r="AA631" s="44"/>
      <c r="AB631" s="44"/>
      <c r="AC631" s="44"/>
      <c r="AD631" s="42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</row>
    <row r="632" spans="1:55" ht="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26"/>
      <c r="M632" s="8"/>
      <c r="N632" s="8"/>
      <c r="O632" s="42"/>
      <c r="P632" s="42"/>
      <c r="Q632" s="42"/>
      <c r="R632" s="42"/>
      <c r="S632" s="42"/>
      <c r="T632" s="42"/>
      <c r="U632" s="42"/>
      <c r="V632" s="42"/>
      <c r="W632" s="44"/>
      <c r="X632" s="42"/>
      <c r="Y632" s="42"/>
      <c r="Z632" s="42"/>
      <c r="AA632" s="44"/>
      <c r="AB632" s="44"/>
      <c r="AC632" s="44"/>
      <c r="AD632" s="42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</row>
    <row r="633" spans="1:55" ht="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26"/>
      <c r="M633" s="8"/>
      <c r="N633" s="8"/>
      <c r="O633" s="42"/>
      <c r="P633" s="42"/>
      <c r="Q633" s="42"/>
      <c r="R633" s="42"/>
      <c r="S633" s="42"/>
      <c r="T633" s="42"/>
      <c r="U633" s="42"/>
      <c r="V633" s="42"/>
      <c r="W633" s="44"/>
      <c r="X633" s="42"/>
      <c r="Y633" s="42"/>
      <c r="Z633" s="42"/>
      <c r="AA633" s="44"/>
      <c r="AB633" s="44"/>
      <c r="AC633" s="44"/>
      <c r="AD633" s="42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</row>
    <row r="634" spans="1:55" ht="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26"/>
      <c r="M634" s="8"/>
      <c r="N634" s="8"/>
      <c r="O634" s="42"/>
      <c r="P634" s="42"/>
      <c r="Q634" s="42"/>
      <c r="R634" s="42"/>
      <c r="S634" s="42"/>
      <c r="T634" s="42"/>
      <c r="U634" s="42"/>
      <c r="V634" s="42"/>
      <c r="W634" s="44"/>
      <c r="X634" s="42"/>
      <c r="Y634" s="42"/>
      <c r="Z634" s="42"/>
      <c r="AA634" s="44"/>
      <c r="AB634" s="44"/>
      <c r="AC634" s="44"/>
      <c r="AD634" s="42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</row>
    <row r="635" spans="1:55" ht="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26"/>
      <c r="M635" s="8"/>
      <c r="N635" s="8"/>
      <c r="O635" s="42"/>
      <c r="P635" s="42"/>
      <c r="Q635" s="42"/>
      <c r="R635" s="42"/>
      <c r="S635" s="42"/>
      <c r="T635" s="42"/>
      <c r="U635" s="42"/>
      <c r="V635" s="42"/>
      <c r="W635" s="44"/>
      <c r="X635" s="42"/>
      <c r="Y635" s="42"/>
      <c r="Z635" s="42"/>
      <c r="AA635" s="44"/>
      <c r="AB635" s="44"/>
      <c r="AC635" s="44"/>
      <c r="AD635" s="42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</row>
    <row r="636" spans="1:55" ht="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26"/>
      <c r="M636" s="8"/>
      <c r="N636" s="8"/>
      <c r="O636" s="42"/>
      <c r="P636" s="42"/>
      <c r="Q636" s="42"/>
      <c r="R636" s="42"/>
      <c r="S636" s="42"/>
      <c r="T636" s="42"/>
      <c r="U636" s="42"/>
      <c r="V636" s="42"/>
      <c r="W636" s="44"/>
      <c r="X636" s="42"/>
      <c r="Y636" s="42"/>
      <c r="Z636" s="42"/>
      <c r="AA636" s="44"/>
      <c r="AB636" s="44"/>
      <c r="AC636" s="44"/>
      <c r="AD636" s="42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</row>
    <row r="637" spans="1:55" ht="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26"/>
      <c r="M637" s="8"/>
      <c r="N637" s="8"/>
      <c r="O637" s="42"/>
      <c r="P637" s="42"/>
      <c r="Q637" s="42"/>
      <c r="R637" s="42"/>
      <c r="S637" s="42"/>
      <c r="T637" s="42"/>
      <c r="U637" s="42"/>
      <c r="V637" s="42"/>
      <c r="W637" s="44"/>
      <c r="X637" s="42"/>
      <c r="Y637" s="42"/>
      <c r="Z637" s="42"/>
      <c r="AA637" s="44"/>
      <c r="AB637" s="44"/>
      <c r="AC637" s="44"/>
      <c r="AD637" s="42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</row>
    <row r="638" spans="1:55" ht="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26"/>
      <c r="M638" s="8"/>
      <c r="N638" s="8"/>
      <c r="O638" s="42"/>
      <c r="P638" s="42"/>
      <c r="Q638" s="42"/>
      <c r="R638" s="42"/>
      <c r="S638" s="42"/>
      <c r="T638" s="42"/>
      <c r="U638" s="42"/>
      <c r="V638" s="42"/>
      <c r="W638" s="44"/>
      <c r="X638" s="42"/>
      <c r="Y638" s="42"/>
      <c r="Z638" s="42"/>
      <c r="AA638" s="44"/>
      <c r="AB638" s="44"/>
      <c r="AC638" s="44"/>
      <c r="AD638" s="42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</row>
    <row r="639" spans="1:55" ht="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26"/>
      <c r="M639" s="8"/>
      <c r="N639" s="8"/>
      <c r="O639" s="42"/>
      <c r="P639" s="42"/>
      <c r="Q639" s="42"/>
      <c r="R639" s="42"/>
      <c r="S639" s="42"/>
      <c r="T639" s="42"/>
      <c r="U639" s="42"/>
      <c r="V639" s="42"/>
      <c r="W639" s="44"/>
      <c r="X639" s="42"/>
      <c r="Y639" s="42"/>
      <c r="Z639" s="42"/>
      <c r="AA639" s="44"/>
      <c r="AB639" s="44"/>
      <c r="AC639" s="44"/>
      <c r="AD639" s="42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</row>
    <row r="640" spans="1:55" ht="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26"/>
      <c r="M640" s="8"/>
      <c r="N640" s="8"/>
      <c r="O640" s="42"/>
      <c r="P640" s="42"/>
      <c r="Q640" s="42"/>
      <c r="R640" s="42"/>
      <c r="S640" s="42"/>
      <c r="T640" s="42"/>
      <c r="U640" s="42"/>
      <c r="V640" s="42"/>
      <c r="W640" s="44"/>
      <c r="X640" s="42"/>
      <c r="Y640" s="42"/>
      <c r="Z640" s="42"/>
      <c r="AA640" s="44"/>
      <c r="AB640" s="44"/>
      <c r="AC640" s="44"/>
      <c r="AD640" s="42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</row>
    <row r="641" spans="1:55" ht="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26"/>
      <c r="M641" s="8"/>
      <c r="N641" s="8"/>
      <c r="O641" s="42"/>
      <c r="P641" s="42"/>
      <c r="Q641" s="42"/>
      <c r="R641" s="42"/>
      <c r="S641" s="42"/>
      <c r="T641" s="42"/>
      <c r="U641" s="42"/>
      <c r="V641" s="42"/>
      <c r="W641" s="44"/>
      <c r="X641" s="42"/>
      <c r="Y641" s="42"/>
      <c r="Z641" s="42"/>
      <c r="AA641" s="44"/>
      <c r="AB641" s="44"/>
      <c r="AC641" s="44"/>
      <c r="AD641" s="42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</row>
    <row r="642" spans="1:55" ht="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26"/>
      <c r="M642" s="8"/>
      <c r="N642" s="8"/>
      <c r="O642" s="42"/>
      <c r="P642" s="42"/>
      <c r="Q642" s="42"/>
      <c r="R642" s="42"/>
      <c r="S642" s="42"/>
      <c r="T642" s="42"/>
      <c r="U642" s="42"/>
      <c r="V642" s="42"/>
      <c r="W642" s="44"/>
      <c r="X642" s="42"/>
      <c r="Y642" s="42"/>
      <c r="Z642" s="42"/>
      <c r="AA642" s="44"/>
      <c r="AB642" s="44"/>
      <c r="AC642" s="44"/>
      <c r="AD642" s="42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</row>
    <row r="643" spans="1:55" ht="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26"/>
      <c r="M643" s="8"/>
      <c r="N643" s="8"/>
      <c r="O643" s="42"/>
      <c r="P643" s="42"/>
      <c r="Q643" s="42"/>
      <c r="R643" s="42"/>
      <c r="S643" s="42"/>
      <c r="T643" s="42"/>
      <c r="U643" s="42"/>
      <c r="V643" s="42"/>
      <c r="W643" s="44"/>
      <c r="X643" s="42"/>
      <c r="Y643" s="42"/>
      <c r="Z643" s="42"/>
      <c r="AA643" s="44"/>
      <c r="AB643" s="44"/>
      <c r="AC643" s="44"/>
      <c r="AD643" s="42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</row>
    <row r="644" spans="1:55" ht="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26"/>
      <c r="M644" s="8"/>
      <c r="N644" s="8"/>
      <c r="O644" s="42"/>
      <c r="P644" s="42"/>
      <c r="Q644" s="42"/>
      <c r="R644" s="42"/>
      <c r="S644" s="42"/>
      <c r="T644" s="42"/>
      <c r="U644" s="42"/>
      <c r="V644" s="42"/>
      <c r="W644" s="44"/>
      <c r="X644" s="42"/>
      <c r="Y644" s="42"/>
      <c r="Z644" s="42"/>
      <c r="AA644" s="44"/>
      <c r="AB644" s="44"/>
      <c r="AC644" s="44"/>
      <c r="AD644" s="42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</row>
    <row r="645" spans="1:55" ht="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26"/>
      <c r="M645" s="8"/>
      <c r="N645" s="8"/>
      <c r="O645" s="42"/>
      <c r="P645" s="42"/>
      <c r="Q645" s="42"/>
      <c r="R645" s="42"/>
      <c r="S645" s="42"/>
      <c r="T645" s="42"/>
      <c r="U645" s="42"/>
      <c r="V645" s="42"/>
      <c r="W645" s="44"/>
      <c r="X645" s="42"/>
      <c r="Y645" s="42"/>
      <c r="Z645" s="42"/>
      <c r="AA645" s="44"/>
      <c r="AB645" s="44"/>
      <c r="AC645" s="44"/>
      <c r="AD645" s="42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</row>
    <row r="646" spans="1:55" ht="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26"/>
      <c r="M646" s="8"/>
      <c r="N646" s="8"/>
      <c r="O646" s="42"/>
      <c r="P646" s="42"/>
      <c r="Q646" s="42"/>
      <c r="R646" s="42"/>
      <c r="S646" s="42"/>
      <c r="T646" s="42"/>
      <c r="U646" s="42"/>
      <c r="V646" s="42"/>
      <c r="W646" s="44"/>
      <c r="X646" s="42"/>
      <c r="Y646" s="42"/>
      <c r="Z646" s="42"/>
      <c r="AA646" s="44"/>
      <c r="AB646" s="44"/>
      <c r="AC646" s="44"/>
      <c r="AD646" s="42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</row>
    <row r="647" spans="1:55" ht="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26"/>
      <c r="M647" s="8"/>
      <c r="N647" s="8"/>
      <c r="O647" s="42"/>
      <c r="P647" s="42"/>
      <c r="Q647" s="42"/>
      <c r="R647" s="42"/>
      <c r="S647" s="42"/>
      <c r="T647" s="42"/>
      <c r="U647" s="42"/>
      <c r="V647" s="42"/>
      <c r="W647" s="44"/>
      <c r="X647" s="42"/>
      <c r="Y647" s="42"/>
      <c r="Z647" s="42"/>
      <c r="AA647" s="44"/>
      <c r="AB647" s="44"/>
      <c r="AC647" s="44"/>
      <c r="AD647" s="42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</row>
    <row r="648" spans="1:55" ht="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26"/>
      <c r="M648" s="8"/>
      <c r="N648" s="8"/>
      <c r="O648" s="42"/>
      <c r="P648" s="42"/>
      <c r="Q648" s="42"/>
      <c r="R648" s="42"/>
      <c r="S648" s="42"/>
      <c r="T648" s="42"/>
      <c r="U648" s="42"/>
      <c r="V648" s="42"/>
      <c r="W648" s="44"/>
      <c r="X648" s="42"/>
      <c r="Y648" s="42"/>
      <c r="Z648" s="42"/>
      <c r="AA648" s="44"/>
      <c r="AB648" s="44"/>
      <c r="AC648" s="44"/>
      <c r="AD648" s="42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</row>
    <row r="649" spans="1:55" ht="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26"/>
      <c r="M649" s="8"/>
      <c r="N649" s="8"/>
      <c r="O649" s="42"/>
      <c r="P649" s="42"/>
      <c r="Q649" s="42"/>
      <c r="R649" s="42"/>
      <c r="S649" s="42"/>
      <c r="T649" s="42"/>
      <c r="U649" s="42"/>
      <c r="V649" s="42"/>
      <c r="W649" s="44"/>
      <c r="X649" s="42"/>
      <c r="Y649" s="42"/>
      <c r="Z649" s="42"/>
      <c r="AA649" s="44"/>
      <c r="AB649" s="44"/>
      <c r="AC649" s="44"/>
      <c r="AD649" s="42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</row>
    <row r="650" spans="1:55" ht="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26"/>
      <c r="M650" s="8"/>
      <c r="N650" s="8"/>
      <c r="O650" s="42"/>
      <c r="P650" s="42"/>
      <c r="Q650" s="42"/>
      <c r="R650" s="42"/>
      <c r="S650" s="42"/>
      <c r="T650" s="42"/>
      <c r="U650" s="42"/>
      <c r="V650" s="42"/>
      <c r="W650" s="44"/>
      <c r="X650" s="42"/>
      <c r="Y650" s="42"/>
      <c r="Z650" s="42"/>
      <c r="AA650" s="44"/>
      <c r="AB650" s="44"/>
      <c r="AC650" s="44"/>
      <c r="AD650" s="42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</row>
    <row r="651" spans="1:55" ht="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26"/>
      <c r="M651" s="8"/>
      <c r="N651" s="8"/>
      <c r="O651" s="42"/>
      <c r="P651" s="42"/>
      <c r="Q651" s="42"/>
      <c r="R651" s="42"/>
      <c r="S651" s="42"/>
      <c r="T651" s="42"/>
      <c r="U651" s="42"/>
      <c r="V651" s="42"/>
      <c r="W651" s="44"/>
      <c r="X651" s="42"/>
      <c r="Y651" s="42"/>
      <c r="Z651" s="42"/>
      <c r="AA651" s="44"/>
      <c r="AB651" s="44"/>
      <c r="AC651" s="44"/>
      <c r="AD651" s="42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</row>
    <row r="652" spans="1:55" ht="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26"/>
      <c r="M652" s="8"/>
      <c r="N652" s="8"/>
      <c r="O652" s="42"/>
      <c r="P652" s="42"/>
      <c r="Q652" s="42"/>
      <c r="R652" s="42"/>
      <c r="S652" s="42"/>
      <c r="T652" s="42"/>
      <c r="U652" s="42"/>
      <c r="V652" s="42"/>
      <c r="W652" s="44"/>
      <c r="X652" s="42"/>
      <c r="Y652" s="42"/>
      <c r="Z652" s="42"/>
      <c r="AA652" s="44"/>
      <c r="AB652" s="44"/>
      <c r="AC652" s="44"/>
      <c r="AD652" s="42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</row>
    <row r="653" spans="1:55" ht="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26"/>
      <c r="M653" s="8"/>
      <c r="N653" s="8"/>
      <c r="O653" s="42"/>
      <c r="P653" s="42"/>
      <c r="Q653" s="42"/>
      <c r="R653" s="42"/>
      <c r="S653" s="42"/>
      <c r="T653" s="42"/>
      <c r="U653" s="42"/>
      <c r="V653" s="42"/>
      <c r="W653" s="44"/>
      <c r="X653" s="42"/>
      <c r="Y653" s="42"/>
      <c r="Z653" s="42"/>
      <c r="AA653" s="44"/>
      <c r="AB653" s="44"/>
      <c r="AC653" s="44"/>
      <c r="AD653" s="42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</row>
    <row r="654" spans="1:55" ht="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26"/>
      <c r="M654" s="8"/>
      <c r="N654" s="8"/>
      <c r="O654" s="42"/>
      <c r="P654" s="42"/>
      <c r="Q654" s="42"/>
      <c r="R654" s="42"/>
      <c r="S654" s="42"/>
      <c r="T654" s="42"/>
      <c r="U654" s="42"/>
      <c r="V654" s="42"/>
      <c r="W654" s="44"/>
      <c r="X654" s="42"/>
      <c r="Y654" s="42"/>
      <c r="Z654" s="42"/>
      <c r="AA654" s="44"/>
      <c r="AB654" s="44"/>
      <c r="AC654" s="44"/>
      <c r="AD654" s="42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</row>
    <row r="655" spans="1:55" ht="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26"/>
      <c r="M655" s="8"/>
      <c r="N655" s="8"/>
      <c r="O655" s="42"/>
      <c r="P655" s="42"/>
      <c r="Q655" s="42"/>
      <c r="R655" s="42"/>
      <c r="S655" s="42"/>
      <c r="T655" s="42"/>
      <c r="U655" s="42"/>
      <c r="V655" s="42"/>
      <c r="W655" s="44"/>
      <c r="X655" s="42"/>
      <c r="Y655" s="42"/>
      <c r="Z655" s="42"/>
      <c r="AA655" s="44"/>
      <c r="AB655" s="44"/>
      <c r="AC655" s="44"/>
      <c r="AD655" s="42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</row>
    <row r="656" spans="1:55" ht="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26"/>
      <c r="M656" s="8"/>
      <c r="N656" s="8"/>
      <c r="O656" s="42"/>
      <c r="P656" s="42"/>
      <c r="Q656" s="42"/>
      <c r="R656" s="42"/>
      <c r="S656" s="42"/>
      <c r="T656" s="42"/>
      <c r="U656" s="42"/>
      <c r="V656" s="42"/>
      <c r="W656" s="44"/>
      <c r="X656" s="42"/>
      <c r="Y656" s="42"/>
      <c r="Z656" s="42"/>
      <c r="AA656" s="44"/>
      <c r="AB656" s="44"/>
      <c r="AC656" s="44"/>
      <c r="AD656" s="42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</row>
    <row r="657" spans="1:55" ht="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26"/>
      <c r="M657" s="8"/>
      <c r="N657" s="8"/>
      <c r="O657" s="42"/>
      <c r="P657" s="42"/>
      <c r="Q657" s="42"/>
      <c r="R657" s="42"/>
      <c r="S657" s="42"/>
      <c r="T657" s="42"/>
      <c r="U657" s="42"/>
      <c r="V657" s="42"/>
      <c r="W657" s="44"/>
      <c r="X657" s="42"/>
      <c r="Y657" s="42"/>
      <c r="Z657" s="42"/>
      <c r="AA657" s="44"/>
      <c r="AB657" s="44"/>
      <c r="AC657" s="44"/>
      <c r="AD657" s="42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</row>
    <row r="658" spans="1:55" ht="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26"/>
      <c r="M658" s="8"/>
      <c r="N658" s="8"/>
      <c r="O658" s="42"/>
      <c r="P658" s="42"/>
      <c r="Q658" s="42"/>
      <c r="R658" s="42"/>
      <c r="S658" s="42"/>
      <c r="T658" s="42"/>
      <c r="U658" s="42"/>
      <c r="V658" s="42"/>
      <c r="W658" s="44"/>
      <c r="X658" s="42"/>
      <c r="Y658" s="42"/>
      <c r="Z658" s="42"/>
      <c r="AA658" s="44"/>
      <c r="AB658" s="44"/>
      <c r="AC658" s="44"/>
      <c r="AD658" s="42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</row>
    <row r="659" spans="1:55" ht="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26"/>
      <c r="M659" s="8"/>
      <c r="N659" s="8"/>
      <c r="O659" s="42"/>
      <c r="P659" s="42"/>
      <c r="Q659" s="42"/>
      <c r="R659" s="42"/>
      <c r="S659" s="42"/>
      <c r="T659" s="42"/>
      <c r="U659" s="42"/>
      <c r="V659" s="42"/>
      <c r="W659" s="44"/>
      <c r="X659" s="42"/>
      <c r="Y659" s="42"/>
      <c r="Z659" s="42"/>
      <c r="AA659" s="44"/>
      <c r="AB659" s="44"/>
      <c r="AC659" s="44"/>
      <c r="AD659" s="42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</row>
    <row r="660" spans="1:55" ht="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26"/>
      <c r="M660" s="8"/>
      <c r="N660" s="8"/>
      <c r="O660" s="42"/>
      <c r="P660" s="42"/>
      <c r="Q660" s="42"/>
      <c r="R660" s="42"/>
      <c r="S660" s="42"/>
      <c r="T660" s="42"/>
      <c r="U660" s="42"/>
      <c r="V660" s="42"/>
      <c r="W660" s="44"/>
      <c r="X660" s="42"/>
      <c r="Y660" s="42"/>
      <c r="Z660" s="42"/>
      <c r="AA660" s="44"/>
      <c r="AB660" s="44"/>
      <c r="AC660" s="44"/>
      <c r="AD660" s="42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</row>
    <row r="661" spans="1:55" ht="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26"/>
      <c r="M661" s="8"/>
      <c r="N661" s="8"/>
      <c r="O661" s="42"/>
      <c r="P661" s="42"/>
      <c r="Q661" s="42"/>
      <c r="R661" s="42"/>
      <c r="S661" s="42"/>
      <c r="T661" s="42"/>
      <c r="U661" s="42"/>
      <c r="V661" s="42"/>
      <c r="W661" s="44"/>
      <c r="X661" s="42"/>
      <c r="Y661" s="42"/>
      <c r="Z661" s="42"/>
      <c r="AA661" s="44"/>
      <c r="AB661" s="44"/>
      <c r="AC661" s="44"/>
      <c r="AD661" s="42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</row>
    <row r="662" spans="1:55" ht="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26"/>
      <c r="M662" s="8"/>
      <c r="N662" s="8"/>
      <c r="O662" s="42"/>
      <c r="P662" s="42"/>
      <c r="Q662" s="42"/>
      <c r="R662" s="42"/>
      <c r="S662" s="42"/>
      <c r="T662" s="42"/>
      <c r="U662" s="42"/>
      <c r="V662" s="42"/>
      <c r="W662" s="44"/>
      <c r="X662" s="42"/>
      <c r="Y662" s="42"/>
      <c r="Z662" s="42"/>
      <c r="AA662" s="44"/>
      <c r="AB662" s="44"/>
      <c r="AC662" s="44"/>
      <c r="AD662" s="42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</row>
    <row r="663" spans="1:55" ht="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26"/>
      <c r="M663" s="8"/>
      <c r="N663" s="8"/>
      <c r="O663" s="42"/>
      <c r="P663" s="42"/>
      <c r="Q663" s="42"/>
      <c r="R663" s="42"/>
      <c r="S663" s="42"/>
      <c r="T663" s="42"/>
      <c r="U663" s="42"/>
      <c r="V663" s="42"/>
      <c r="W663" s="44"/>
      <c r="X663" s="42"/>
      <c r="Y663" s="42"/>
      <c r="Z663" s="42"/>
      <c r="AA663" s="44"/>
      <c r="AB663" s="44"/>
      <c r="AC663" s="44"/>
      <c r="AD663" s="42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</row>
    <row r="664" spans="1:55" ht="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26"/>
      <c r="M664" s="8"/>
      <c r="N664" s="8"/>
      <c r="O664" s="42"/>
      <c r="P664" s="42"/>
      <c r="Q664" s="42"/>
      <c r="R664" s="42"/>
      <c r="S664" s="42"/>
      <c r="T664" s="42"/>
      <c r="U664" s="42"/>
      <c r="V664" s="42"/>
      <c r="W664" s="44"/>
      <c r="X664" s="42"/>
      <c r="Y664" s="42"/>
      <c r="Z664" s="42"/>
      <c r="AA664" s="44"/>
      <c r="AB664" s="44"/>
      <c r="AC664" s="44"/>
      <c r="AD664" s="42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</row>
    <row r="665" spans="1:55" ht="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26"/>
      <c r="M665" s="8"/>
      <c r="N665" s="8"/>
      <c r="O665" s="42"/>
      <c r="P665" s="42"/>
      <c r="Q665" s="42"/>
      <c r="R665" s="42"/>
      <c r="S665" s="42"/>
      <c r="T665" s="42"/>
      <c r="U665" s="42"/>
      <c r="V665" s="42"/>
      <c r="W665" s="44"/>
      <c r="X665" s="42"/>
      <c r="Y665" s="42"/>
      <c r="Z665" s="42"/>
      <c r="AA665" s="44"/>
      <c r="AB665" s="44"/>
      <c r="AC665" s="44"/>
      <c r="AD665" s="42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</row>
    <row r="666" spans="1:55" ht="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26"/>
      <c r="M666" s="8"/>
      <c r="N666" s="8"/>
      <c r="O666" s="42"/>
      <c r="P666" s="42"/>
      <c r="Q666" s="42"/>
      <c r="R666" s="42"/>
      <c r="S666" s="42"/>
      <c r="T666" s="42"/>
      <c r="U666" s="42"/>
      <c r="V666" s="42"/>
      <c r="W666" s="44"/>
      <c r="X666" s="42"/>
      <c r="Y666" s="42"/>
      <c r="Z666" s="42"/>
      <c r="AA666" s="44"/>
      <c r="AB666" s="44"/>
      <c r="AC666" s="44"/>
      <c r="AD666" s="42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</row>
    <row r="667" spans="1:55" ht="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26"/>
      <c r="M667" s="8"/>
      <c r="N667" s="8"/>
      <c r="O667" s="42"/>
      <c r="P667" s="42"/>
      <c r="Q667" s="42"/>
      <c r="R667" s="42"/>
      <c r="S667" s="42"/>
      <c r="T667" s="42"/>
      <c r="U667" s="42"/>
      <c r="V667" s="42"/>
      <c r="W667" s="44"/>
      <c r="X667" s="42"/>
      <c r="Y667" s="42"/>
      <c r="Z667" s="42"/>
      <c r="AA667" s="44"/>
      <c r="AB667" s="44"/>
      <c r="AC667" s="44"/>
      <c r="AD667" s="42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</row>
    <row r="668" spans="1:55" ht="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26"/>
      <c r="M668" s="8"/>
      <c r="N668" s="8"/>
      <c r="O668" s="42"/>
      <c r="P668" s="42"/>
      <c r="Q668" s="42"/>
      <c r="R668" s="42"/>
      <c r="S668" s="42"/>
      <c r="T668" s="42"/>
      <c r="U668" s="42"/>
      <c r="V668" s="42"/>
      <c r="W668" s="44"/>
      <c r="X668" s="42"/>
      <c r="Y668" s="42"/>
      <c r="Z668" s="42"/>
      <c r="AA668" s="44"/>
      <c r="AB668" s="44"/>
      <c r="AC668" s="44"/>
      <c r="AD668" s="42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</row>
    <row r="669" spans="1:55" ht="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26"/>
      <c r="M669" s="8"/>
      <c r="N669" s="8"/>
      <c r="O669" s="42"/>
      <c r="P669" s="42"/>
      <c r="Q669" s="42"/>
      <c r="R669" s="42"/>
      <c r="S669" s="42"/>
      <c r="T669" s="42"/>
      <c r="U669" s="42"/>
      <c r="V669" s="42"/>
      <c r="W669" s="44"/>
      <c r="X669" s="42"/>
      <c r="Y669" s="42"/>
      <c r="Z669" s="42"/>
      <c r="AA669" s="44"/>
      <c r="AB669" s="44"/>
      <c r="AC669" s="44"/>
      <c r="AD669" s="42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</row>
    <row r="670" spans="1:55" ht="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26"/>
      <c r="M670" s="8"/>
      <c r="N670" s="8"/>
      <c r="O670" s="42"/>
      <c r="P670" s="42"/>
      <c r="Q670" s="42"/>
      <c r="R670" s="42"/>
      <c r="S670" s="42"/>
      <c r="T670" s="42"/>
      <c r="U670" s="42"/>
      <c r="V670" s="42"/>
      <c r="W670" s="44"/>
      <c r="X670" s="42"/>
      <c r="Y670" s="42"/>
      <c r="Z670" s="42"/>
      <c r="AA670" s="44"/>
      <c r="AB670" s="44"/>
      <c r="AC670" s="44"/>
      <c r="AD670" s="42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</row>
    <row r="671" spans="1:55" ht="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26"/>
      <c r="M671" s="8"/>
      <c r="N671" s="8"/>
      <c r="O671" s="42"/>
      <c r="P671" s="42"/>
      <c r="Q671" s="42"/>
      <c r="R671" s="42"/>
      <c r="S671" s="42"/>
      <c r="T671" s="42"/>
      <c r="U671" s="42"/>
      <c r="V671" s="42"/>
      <c r="W671" s="44"/>
      <c r="X671" s="42"/>
      <c r="Y671" s="42"/>
      <c r="Z671" s="42"/>
      <c r="AA671" s="44"/>
      <c r="AB671" s="44"/>
      <c r="AC671" s="44"/>
      <c r="AD671" s="42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</row>
    <row r="672" spans="1:55" ht="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26"/>
      <c r="M672" s="8"/>
      <c r="N672" s="8"/>
      <c r="O672" s="42"/>
      <c r="P672" s="42"/>
      <c r="Q672" s="42"/>
      <c r="R672" s="42"/>
      <c r="S672" s="42"/>
      <c r="T672" s="42"/>
      <c r="U672" s="42"/>
      <c r="V672" s="42"/>
      <c r="W672" s="44"/>
      <c r="X672" s="42"/>
      <c r="Y672" s="42"/>
      <c r="Z672" s="42"/>
      <c r="AA672" s="44"/>
      <c r="AB672" s="44"/>
      <c r="AC672" s="44"/>
      <c r="AD672" s="42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</row>
    <row r="673" spans="1:55" ht="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26"/>
      <c r="M673" s="8"/>
      <c r="N673" s="8"/>
      <c r="O673" s="42"/>
      <c r="P673" s="42"/>
      <c r="Q673" s="42"/>
      <c r="R673" s="42"/>
      <c r="S673" s="42"/>
      <c r="T673" s="42"/>
      <c r="U673" s="42"/>
      <c r="V673" s="42"/>
      <c r="W673" s="44"/>
      <c r="X673" s="42"/>
      <c r="Y673" s="42"/>
      <c r="Z673" s="42"/>
      <c r="AA673" s="44"/>
      <c r="AB673" s="44"/>
      <c r="AC673" s="44"/>
      <c r="AD673" s="42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</row>
    <row r="674" spans="1:55" ht="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26"/>
      <c r="M674" s="8"/>
      <c r="N674" s="8"/>
      <c r="O674" s="42"/>
      <c r="P674" s="42"/>
      <c r="Q674" s="42"/>
      <c r="R674" s="42"/>
      <c r="S674" s="42"/>
      <c r="T674" s="42"/>
      <c r="U674" s="42"/>
      <c r="V674" s="42"/>
      <c r="W674" s="44"/>
      <c r="X674" s="42"/>
      <c r="Y674" s="42"/>
      <c r="Z674" s="42"/>
      <c r="AA674" s="44"/>
      <c r="AB674" s="44"/>
      <c r="AC674" s="44"/>
      <c r="AD674" s="42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</row>
    <row r="675" spans="1:55" ht="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26"/>
      <c r="M675" s="8"/>
      <c r="N675" s="8"/>
      <c r="O675" s="42"/>
      <c r="P675" s="42"/>
      <c r="Q675" s="42"/>
      <c r="R675" s="42"/>
      <c r="S675" s="42"/>
      <c r="T675" s="42"/>
      <c r="U675" s="42"/>
      <c r="V675" s="42"/>
      <c r="W675" s="44"/>
      <c r="X675" s="42"/>
      <c r="Y675" s="42"/>
      <c r="Z675" s="42"/>
      <c r="AA675" s="44"/>
      <c r="AB675" s="44"/>
      <c r="AC675" s="44"/>
      <c r="AD675" s="42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</row>
    <row r="676" spans="1:55" ht="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26"/>
      <c r="M676" s="8"/>
      <c r="N676" s="8"/>
      <c r="O676" s="42"/>
      <c r="P676" s="42"/>
      <c r="Q676" s="42"/>
      <c r="R676" s="42"/>
      <c r="S676" s="42"/>
      <c r="T676" s="42"/>
      <c r="U676" s="42"/>
      <c r="V676" s="42"/>
      <c r="W676" s="44"/>
      <c r="X676" s="42"/>
      <c r="Y676" s="42"/>
      <c r="Z676" s="42"/>
      <c r="AA676" s="44"/>
      <c r="AB676" s="44"/>
      <c r="AC676" s="44"/>
      <c r="AD676" s="42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</row>
    <row r="677" spans="1:55" ht="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26"/>
      <c r="M677" s="8"/>
      <c r="N677" s="8"/>
      <c r="O677" s="42"/>
      <c r="P677" s="42"/>
      <c r="Q677" s="42"/>
      <c r="R677" s="42"/>
      <c r="S677" s="42"/>
      <c r="T677" s="42"/>
      <c r="U677" s="42"/>
      <c r="V677" s="42"/>
      <c r="W677" s="44"/>
      <c r="X677" s="42"/>
      <c r="Y677" s="42"/>
      <c r="Z677" s="42"/>
      <c r="AA677" s="44"/>
      <c r="AB677" s="44"/>
      <c r="AC677" s="44"/>
      <c r="AD677" s="42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</row>
    <row r="678" spans="1:55" ht="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26"/>
      <c r="M678" s="8"/>
      <c r="N678" s="8"/>
      <c r="O678" s="42"/>
      <c r="P678" s="42"/>
      <c r="Q678" s="42"/>
      <c r="R678" s="42"/>
      <c r="S678" s="42"/>
      <c r="T678" s="42"/>
      <c r="U678" s="42"/>
      <c r="V678" s="42"/>
      <c r="W678" s="44"/>
      <c r="X678" s="42"/>
      <c r="Y678" s="42"/>
      <c r="Z678" s="42"/>
      <c r="AA678" s="44"/>
      <c r="AB678" s="44"/>
      <c r="AC678" s="44"/>
      <c r="AD678" s="42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</row>
    <row r="679" spans="1:55" ht="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26"/>
      <c r="M679" s="8"/>
      <c r="N679" s="8"/>
      <c r="O679" s="42"/>
      <c r="P679" s="42"/>
      <c r="Q679" s="42"/>
      <c r="R679" s="42"/>
      <c r="S679" s="42"/>
      <c r="T679" s="42"/>
      <c r="U679" s="42"/>
      <c r="V679" s="42"/>
      <c r="W679" s="44"/>
      <c r="X679" s="42"/>
      <c r="Y679" s="42"/>
      <c r="Z679" s="42"/>
      <c r="AA679" s="44"/>
      <c r="AB679" s="44"/>
      <c r="AC679" s="44"/>
      <c r="AD679" s="42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</row>
    <row r="680" spans="1:55" ht="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26"/>
      <c r="M680" s="8"/>
      <c r="N680" s="8"/>
      <c r="O680" s="42"/>
      <c r="P680" s="42"/>
      <c r="Q680" s="42"/>
      <c r="R680" s="42"/>
      <c r="S680" s="42"/>
      <c r="T680" s="42"/>
      <c r="U680" s="42"/>
      <c r="V680" s="42"/>
      <c r="W680" s="44"/>
      <c r="X680" s="42"/>
      <c r="Y680" s="42"/>
      <c r="Z680" s="42"/>
      <c r="AA680" s="44"/>
      <c r="AB680" s="44"/>
      <c r="AC680" s="44"/>
      <c r="AD680" s="42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</row>
    <row r="681" spans="1:55" ht="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26"/>
      <c r="M681" s="8"/>
      <c r="N681" s="8"/>
      <c r="O681" s="42"/>
      <c r="P681" s="42"/>
      <c r="Q681" s="42"/>
      <c r="R681" s="42"/>
      <c r="S681" s="42"/>
      <c r="T681" s="42"/>
      <c r="U681" s="42"/>
      <c r="V681" s="42"/>
      <c r="W681" s="44"/>
      <c r="X681" s="42"/>
      <c r="Y681" s="42"/>
      <c r="Z681" s="42"/>
      <c r="AA681" s="44"/>
      <c r="AB681" s="44"/>
      <c r="AC681" s="44"/>
      <c r="AD681" s="42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</row>
    <row r="682" spans="1:55" ht="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26"/>
      <c r="M682" s="8"/>
      <c r="N682" s="8"/>
      <c r="O682" s="42"/>
      <c r="P682" s="42"/>
      <c r="Q682" s="42"/>
      <c r="R682" s="42"/>
      <c r="S682" s="42"/>
      <c r="T682" s="42"/>
      <c r="U682" s="42"/>
      <c r="V682" s="42"/>
      <c r="W682" s="44"/>
      <c r="X682" s="42"/>
      <c r="Y682" s="42"/>
      <c r="Z682" s="42"/>
      <c r="AA682" s="44"/>
      <c r="AB682" s="44"/>
      <c r="AC682" s="44"/>
      <c r="AD682" s="42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</row>
    <row r="683" spans="1:55" ht="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26"/>
      <c r="M683" s="8"/>
      <c r="N683" s="8"/>
      <c r="O683" s="42"/>
      <c r="P683" s="42"/>
      <c r="Q683" s="42"/>
      <c r="R683" s="42"/>
      <c r="S683" s="42"/>
      <c r="T683" s="42"/>
      <c r="U683" s="42"/>
      <c r="V683" s="42"/>
      <c r="W683" s="44"/>
      <c r="X683" s="42"/>
      <c r="Y683" s="42"/>
      <c r="Z683" s="42"/>
      <c r="AA683" s="44"/>
      <c r="AB683" s="44"/>
      <c r="AC683" s="44"/>
      <c r="AD683" s="42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</row>
    <row r="684" spans="1:55" ht="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26"/>
      <c r="M684" s="8"/>
      <c r="N684" s="8"/>
      <c r="O684" s="42"/>
      <c r="P684" s="42"/>
      <c r="Q684" s="42"/>
      <c r="R684" s="42"/>
      <c r="S684" s="42"/>
      <c r="T684" s="42"/>
      <c r="U684" s="42"/>
      <c r="V684" s="42"/>
      <c r="W684" s="44"/>
      <c r="X684" s="42"/>
      <c r="Y684" s="42"/>
      <c r="Z684" s="42"/>
      <c r="AA684" s="44"/>
      <c r="AB684" s="44"/>
      <c r="AC684" s="44"/>
      <c r="AD684" s="42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</row>
    <row r="685" spans="1:55" ht="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26"/>
      <c r="M685" s="8"/>
      <c r="N685" s="8"/>
      <c r="O685" s="42"/>
      <c r="P685" s="42"/>
      <c r="Q685" s="42"/>
      <c r="R685" s="42"/>
      <c r="S685" s="42"/>
      <c r="T685" s="42"/>
      <c r="U685" s="42"/>
      <c r="V685" s="42"/>
      <c r="W685" s="44"/>
      <c r="X685" s="42"/>
      <c r="Y685" s="42"/>
      <c r="Z685" s="42"/>
      <c r="AA685" s="44"/>
      <c r="AB685" s="44"/>
      <c r="AC685" s="44"/>
      <c r="AD685" s="42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</row>
    <row r="686" spans="1:55" ht="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26"/>
      <c r="M686" s="8"/>
      <c r="N686" s="8"/>
      <c r="O686" s="42"/>
      <c r="P686" s="42"/>
      <c r="Q686" s="42"/>
      <c r="R686" s="42"/>
      <c r="S686" s="42"/>
      <c r="T686" s="42"/>
      <c r="U686" s="42"/>
      <c r="V686" s="42"/>
      <c r="W686" s="44"/>
      <c r="X686" s="42"/>
      <c r="Y686" s="42"/>
      <c r="Z686" s="42"/>
      <c r="AA686" s="44"/>
      <c r="AB686" s="44"/>
      <c r="AC686" s="44"/>
      <c r="AD686" s="42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</row>
    <row r="687" spans="1:55" ht="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26"/>
      <c r="M687" s="8"/>
      <c r="N687" s="8"/>
      <c r="O687" s="42"/>
      <c r="P687" s="42"/>
      <c r="Q687" s="42"/>
      <c r="R687" s="42"/>
      <c r="S687" s="42"/>
      <c r="T687" s="42"/>
      <c r="U687" s="42"/>
      <c r="V687" s="42"/>
      <c r="W687" s="44"/>
      <c r="X687" s="42"/>
      <c r="Y687" s="42"/>
      <c r="Z687" s="42"/>
      <c r="AA687" s="44"/>
      <c r="AB687" s="44"/>
      <c r="AC687" s="44"/>
      <c r="AD687" s="42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</row>
    <row r="688" spans="1:55" ht="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26"/>
      <c r="M688" s="8"/>
      <c r="N688" s="8"/>
      <c r="O688" s="42"/>
      <c r="P688" s="42"/>
      <c r="Q688" s="42"/>
      <c r="R688" s="42"/>
      <c r="S688" s="42"/>
      <c r="T688" s="42"/>
      <c r="U688" s="42"/>
      <c r="V688" s="42"/>
      <c r="W688" s="44"/>
      <c r="X688" s="42"/>
      <c r="Y688" s="42"/>
      <c r="Z688" s="42"/>
      <c r="AA688" s="44"/>
      <c r="AB688" s="44"/>
      <c r="AC688" s="44"/>
      <c r="AD688" s="42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</row>
    <row r="689" spans="1:55" ht="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26"/>
      <c r="M689" s="8"/>
      <c r="N689" s="8"/>
      <c r="O689" s="42"/>
      <c r="P689" s="42"/>
      <c r="Q689" s="42"/>
      <c r="R689" s="42"/>
      <c r="S689" s="42"/>
      <c r="T689" s="42"/>
      <c r="U689" s="42"/>
      <c r="V689" s="42"/>
      <c r="W689" s="44"/>
      <c r="X689" s="42"/>
      <c r="Y689" s="42"/>
      <c r="Z689" s="42"/>
      <c r="AA689" s="44"/>
      <c r="AB689" s="44"/>
      <c r="AC689" s="44"/>
      <c r="AD689" s="42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</row>
    <row r="690" spans="1:55" ht="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26"/>
      <c r="M690" s="8"/>
      <c r="N690" s="8"/>
      <c r="O690" s="42"/>
      <c r="P690" s="42"/>
      <c r="Q690" s="42"/>
      <c r="R690" s="42"/>
      <c r="S690" s="42"/>
      <c r="T690" s="42"/>
      <c r="U690" s="42"/>
      <c r="V690" s="42"/>
      <c r="W690" s="44"/>
      <c r="X690" s="42"/>
      <c r="Y690" s="42"/>
      <c r="Z690" s="42"/>
      <c r="AA690" s="44"/>
      <c r="AB690" s="44"/>
      <c r="AC690" s="44"/>
      <c r="AD690" s="42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</row>
    <row r="691" spans="1:55" ht="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26"/>
      <c r="M691" s="8"/>
      <c r="N691" s="8"/>
      <c r="O691" s="42"/>
      <c r="P691" s="42"/>
      <c r="Q691" s="42"/>
      <c r="R691" s="42"/>
      <c r="S691" s="42"/>
      <c r="T691" s="42"/>
      <c r="U691" s="42"/>
      <c r="V691" s="42"/>
      <c r="W691" s="44"/>
      <c r="X691" s="42"/>
      <c r="Y691" s="42"/>
      <c r="Z691" s="42"/>
      <c r="AA691" s="44"/>
      <c r="AB691" s="44"/>
      <c r="AC691" s="44"/>
      <c r="AD691" s="42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</row>
    <row r="692" spans="1:55" ht="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26"/>
      <c r="M692" s="8"/>
      <c r="N692" s="8"/>
      <c r="O692" s="42"/>
      <c r="P692" s="42"/>
      <c r="Q692" s="42"/>
      <c r="R692" s="42"/>
      <c r="S692" s="42"/>
      <c r="T692" s="42"/>
      <c r="U692" s="42"/>
      <c r="V692" s="42"/>
      <c r="W692" s="44"/>
      <c r="X692" s="42"/>
      <c r="Y692" s="42"/>
      <c r="Z692" s="42"/>
      <c r="AA692" s="44"/>
      <c r="AB692" s="44"/>
      <c r="AC692" s="44"/>
      <c r="AD692" s="42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</row>
    <row r="693" spans="1:55" ht="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26"/>
      <c r="M693" s="8"/>
      <c r="N693" s="8"/>
      <c r="O693" s="42"/>
      <c r="P693" s="42"/>
      <c r="Q693" s="42"/>
      <c r="R693" s="42"/>
      <c r="S693" s="42"/>
      <c r="T693" s="42"/>
      <c r="U693" s="42"/>
      <c r="V693" s="42"/>
      <c r="W693" s="44"/>
      <c r="X693" s="42"/>
      <c r="Y693" s="42"/>
      <c r="Z693" s="42"/>
      <c r="AA693" s="44"/>
      <c r="AB693" s="44"/>
      <c r="AC693" s="44"/>
      <c r="AD693" s="42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</row>
    <row r="694" spans="1:55" ht="1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26"/>
      <c r="M694" s="8"/>
      <c r="N694" s="8"/>
      <c r="O694" s="42"/>
      <c r="P694" s="42"/>
      <c r="Q694" s="42"/>
      <c r="R694" s="42"/>
      <c r="S694" s="42"/>
      <c r="T694" s="42"/>
      <c r="U694" s="42"/>
      <c r="V694" s="42"/>
      <c r="W694" s="44"/>
      <c r="X694" s="42"/>
      <c r="Y694" s="42"/>
      <c r="Z694" s="42"/>
      <c r="AA694" s="44"/>
      <c r="AB694" s="44"/>
      <c r="AC694" s="44"/>
      <c r="AD694" s="42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</row>
    <row r="695" spans="1:55" ht="1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26"/>
      <c r="M695" s="8"/>
      <c r="N695" s="8"/>
      <c r="O695" s="42"/>
      <c r="P695" s="42"/>
      <c r="Q695" s="42"/>
      <c r="R695" s="42"/>
      <c r="S695" s="42"/>
      <c r="T695" s="42"/>
      <c r="U695" s="42"/>
      <c r="V695" s="42"/>
      <c r="W695" s="44"/>
      <c r="X695" s="42"/>
      <c r="Y695" s="42"/>
      <c r="Z695" s="42"/>
      <c r="AA695" s="44"/>
      <c r="AB695" s="44"/>
      <c r="AC695" s="44"/>
      <c r="AD695" s="42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</row>
    <row r="696" spans="1:55" ht="1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26"/>
      <c r="M696" s="8"/>
      <c r="N696" s="8"/>
      <c r="O696" s="42"/>
      <c r="P696" s="42"/>
      <c r="Q696" s="42"/>
      <c r="R696" s="42"/>
      <c r="S696" s="42"/>
      <c r="T696" s="42"/>
      <c r="U696" s="42"/>
      <c r="V696" s="42"/>
      <c r="W696" s="44"/>
      <c r="X696" s="42"/>
      <c r="Y696" s="42"/>
      <c r="Z696" s="42"/>
      <c r="AA696" s="44"/>
      <c r="AB696" s="44"/>
      <c r="AC696" s="44"/>
      <c r="AD696" s="42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</row>
    <row r="697" spans="1:55" ht="1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26"/>
      <c r="M697" s="8"/>
      <c r="N697" s="8"/>
      <c r="O697" s="42"/>
      <c r="P697" s="42"/>
      <c r="Q697" s="42"/>
      <c r="R697" s="42"/>
      <c r="S697" s="42"/>
      <c r="T697" s="42"/>
      <c r="U697" s="42"/>
      <c r="V697" s="42"/>
      <c r="W697" s="44"/>
      <c r="X697" s="42"/>
      <c r="Y697" s="42"/>
      <c r="Z697" s="42"/>
      <c r="AA697" s="44"/>
      <c r="AB697" s="44"/>
      <c r="AC697" s="44"/>
      <c r="AD697" s="42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</row>
    <row r="698" spans="1:55" ht="1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26"/>
      <c r="M698" s="8"/>
      <c r="N698" s="8"/>
      <c r="O698" s="42"/>
      <c r="P698" s="42"/>
      <c r="Q698" s="42"/>
      <c r="R698" s="42"/>
      <c r="S698" s="42"/>
      <c r="T698" s="42"/>
      <c r="U698" s="42"/>
      <c r="V698" s="42"/>
      <c r="W698" s="44"/>
      <c r="X698" s="42"/>
      <c r="Y698" s="42"/>
      <c r="Z698" s="42"/>
      <c r="AA698" s="44"/>
      <c r="AB698" s="44"/>
      <c r="AC698" s="44"/>
      <c r="AD698" s="42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</row>
    <row r="699" spans="1:55" ht="1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26"/>
      <c r="M699" s="8"/>
      <c r="N699" s="8"/>
      <c r="O699" s="42"/>
      <c r="P699" s="42"/>
      <c r="Q699" s="42"/>
      <c r="R699" s="42"/>
      <c r="S699" s="42"/>
      <c r="T699" s="42"/>
      <c r="U699" s="42"/>
      <c r="V699" s="42"/>
      <c r="W699" s="44"/>
      <c r="X699" s="42"/>
      <c r="Y699" s="42"/>
      <c r="Z699" s="42"/>
      <c r="AA699" s="44"/>
      <c r="AB699" s="44"/>
      <c r="AC699" s="44"/>
      <c r="AD699" s="42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</row>
    <row r="700" spans="1:55" ht="1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26"/>
      <c r="M700" s="8"/>
      <c r="N700" s="8"/>
      <c r="O700" s="42"/>
      <c r="P700" s="42"/>
      <c r="Q700" s="42"/>
      <c r="R700" s="42"/>
      <c r="S700" s="42"/>
      <c r="T700" s="42"/>
      <c r="U700" s="42"/>
      <c r="V700" s="42"/>
      <c r="W700" s="44"/>
      <c r="X700" s="42"/>
      <c r="Y700" s="42"/>
      <c r="Z700" s="42"/>
      <c r="AA700" s="44"/>
      <c r="AB700" s="44"/>
      <c r="AC700" s="44"/>
      <c r="AD700" s="42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</row>
    <row r="701" spans="1:55" ht="1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26"/>
      <c r="M701" s="8"/>
      <c r="N701" s="8"/>
      <c r="O701" s="42"/>
      <c r="P701" s="42"/>
      <c r="Q701" s="42"/>
      <c r="R701" s="42"/>
      <c r="S701" s="42"/>
      <c r="T701" s="42"/>
      <c r="U701" s="42"/>
      <c r="V701" s="42"/>
      <c r="W701" s="44"/>
      <c r="X701" s="42"/>
      <c r="Y701" s="42"/>
      <c r="Z701" s="42"/>
      <c r="AA701" s="44"/>
      <c r="AB701" s="44"/>
      <c r="AC701" s="44"/>
      <c r="AD701" s="42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</row>
    <row r="702" spans="1:55" ht="1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26"/>
      <c r="M702" s="8"/>
      <c r="N702" s="8"/>
      <c r="O702" s="42"/>
      <c r="P702" s="42"/>
      <c r="Q702" s="42"/>
      <c r="R702" s="42"/>
      <c r="S702" s="42"/>
      <c r="T702" s="42"/>
      <c r="U702" s="42"/>
      <c r="V702" s="42"/>
      <c r="W702" s="44"/>
      <c r="X702" s="42"/>
      <c r="Y702" s="42"/>
      <c r="Z702" s="42"/>
      <c r="AA702" s="44"/>
      <c r="AB702" s="44"/>
      <c r="AC702" s="44"/>
      <c r="AD702" s="42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</row>
    <row r="703" spans="1:55" ht="1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26"/>
      <c r="M703" s="8"/>
      <c r="N703" s="8"/>
      <c r="O703" s="42"/>
      <c r="P703" s="42"/>
      <c r="Q703" s="42"/>
      <c r="R703" s="42"/>
      <c r="S703" s="42"/>
      <c r="T703" s="42"/>
      <c r="U703" s="42"/>
      <c r="V703" s="42"/>
      <c r="W703" s="44"/>
      <c r="X703" s="42"/>
      <c r="Y703" s="42"/>
      <c r="Z703" s="42"/>
      <c r="AA703" s="44"/>
      <c r="AB703" s="44"/>
      <c r="AC703" s="44"/>
      <c r="AD703" s="42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</row>
    <row r="704" spans="1:55" ht="1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26"/>
      <c r="M704" s="8"/>
      <c r="N704" s="8"/>
      <c r="O704" s="42"/>
      <c r="P704" s="42"/>
      <c r="Q704" s="42"/>
      <c r="R704" s="42"/>
      <c r="S704" s="42"/>
      <c r="T704" s="42"/>
      <c r="U704" s="42"/>
      <c r="V704" s="42"/>
      <c r="W704" s="44"/>
      <c r="X704" s="42"/>
      <c r="Y704" s="42"/>
      <c r="Z704" s="42"/>
      <c r="AA704" s="44"/>
      <c r="AB704" s="44"/>
      <c r="AC704" s="44"/>
      <c r="AD704" s="42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</row>
    <row r="705" spans="1:55" ht="1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26"/>
      <c r="M705" s="8"/>
      <c r="N705" s="8"/>
      <c r="O705" s="42"/>
      <c r="P705" s="42"/>
      <c r="Q705" s="42"/>
      <c r="R705" s="42"/>
      <c r="S705" s="42"/>
      <c r="T705" s="42"/>
      <c r="U705" s="42"/>
      <c r="V705" s="42"/>
      <c r="W705" s="44"/>
      <c r="X705" s="42"/>
      <c r="Y705" s="42"/>
      <c r="Z705" s="42"/>
      <c r="AA705" s="44"/>
      <c r="AB705" s="44"/>
      <c r="AC705" s="44"/>
      <c r="AD705" s="42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</row>
    <row r="706" spans="1:55" ht="1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26"/>
      <c r="M706" s="8"/>
      <c r="N706" s="8"/>
      <c r="O706" s="42"/>
      <c r="P706" s="42"/>
      <c r="Q706" s="42"/>
      <c r="R706" s="42"/>
      <c r="S706" s="42"/>
      <c r="T706" s="42"/>
      <c r="U706" s="42"/>
      <c r="V706" s="42"/>
      <c r="W706" s="44"/>
      <c r="X706" s="42"/>
      <c r="Y706" s="42"/>
      <c r="Z706" s="42"/>
      <c r="AA706" s="44"/>
      <c r="AB706" s="44"/>
      <c r="AC706" s="44"/>
      <c r="AD706" s="42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</row>
    <row r="707" spans="1:55" ht="1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26"/>
      <c r="M707" s="8"/>
      <c r="N707" s="8"/>
      <c r="O707" s="42"/>
      <c r="P707" s="42"/>
      <c r="Q707" s="42"/>
      <c r="R707" s="42"/>
      <c r="S707" s="42"/>
      <c r="T707" s="42"/>
      <c r="U707" s="42"/>
      <c r="V707" s="42"/>
      <c r="W707" s="44"/>
      <c r="X707" s="42"/>
      <c r="Y707" s="42"/>
      <c r="Z707" s="42"/>
      <c r="AA707" s="44"/>
      <c r="AB707" s="44"/>
      <c r="AC707" s="44"/>
      <c r="AD707" s="42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</row>
    <row r="708" spans="1:55" ht="1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26"/>
      <c r="M708" s="8"/>
      <c r="N708" s="8"/>
      <c r="O708" s="42"/>
      <c r="P708" s="42"/>
      <c r="Q708" s="42"/>
      <c r="R708" s="42"/>
      <c r="S708" s="42"/>
      <c r="T708" s="42"/>
      <c r="U708" s="42"/>
      <c r="V708" s="42"/>
      <c r="W708" s="44"/>
      <c r="X708" s="42"/>
      <c r="Y708" s="42"/>
      <c r="Z708" s="42"/>
      <c r="AA708" s="44"/>
      <c r="AB708" s="44"/>
      <c r="AC708" s="44"/>
      <c r="AD708" s="42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</row>
    <row r="709" spans="1:55" ht="1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26"/>
      <c r="M709" s="8"/>
      <c r="N709" s="8"/>
      <c r="O709" s="42"/>
      <c r="P709" s="42"/>
      <c r="Q709" s="42"/>
      <c r="R709" s="42"/>
      <c r="S709" s="42"/>
      <c r="T709" s="42"/>
      <c r="U709" s="42"/>
      <c r="V709" s="42"/>
      <c r="W709" s="44"/>
      <c r="X709" s="42"/>
      <c r="Y709" s="42"/>
      <c r="Z709" s="42"/>
      <c r="AA709" s="44"/>
      <c r="AB709" s="44"/>
      <c r="AC709" s="44"/>
      <c r="AD709" s="42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</row>
    <row r="710" spans="1:55" ht="1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26"/>
      <c r="M710" s="8"/>
      <c r="N710" s="8"/>
      <c r="O710" s="42"/>
      <c r="P710" s="42"/>
      <c r="Q710" s="42"/>
      <c r="R710" s="42"/>
      <c r="S710" s="42"/>
      <c r="T710" s="42"/>
      <c r="U710" s="42"/>
      <c r="V710" s="42"/>
      <c r="W710" s="44"/>
      <c r="X710" s="42"/>
      <c r="Y710" s="42"/>
      <c r="Z710" s="42"/>
      <c r="AA710" s="44"/>
      <c r="AB710" s="44"/>
      <c r="AC710" s="44"/>
      <c r="AD710" s="42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</row>
    <row r="711" spans="1:55" ht="1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26"/>
      <c r="M711" s="8"/>
      <c r="N711" s="8"/>
      <c r="O711" s="42"/>
      <c r="P711" s="42"/>
      <c r="Q711" s="42"/>
      <c r="R711" s="42"/>
      <c r="S711" s="42"/>
      <c r="T711" s="42"/>
      <c r="U711" s="42"/>
      <c r="V711" s="42"/>
      <c r="W711" s="44"/>
      <c r="X711" s="42"/>
      <c r="Y711" s="42"/>
      <c r="Z711" s="42"/>
      <c r="AA711" s="44"/>
      <c r="AB711" s="44"/>
      <c r="AC711" s="44"/>
      <c r="AD711" s="42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</row>
    <row r="712" spans="1:55" ht="1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26"/>
      <c r="M712" s="8"/>
      <c r="N712" s="8"/>
      <c r="O712" s="42"/>
      <c r="P712" s="42"/>
      <c r="Q712" s="42"/>
      <c r="R712" s="42"/>
      <c r="S712" s="42"/>
      <c r="T712" s="42"/>
      <c r="U712" s="42"/>
      <c r="V712" s="42"/>
      <c r="W712" s="44"/>
      <c r="X712" s="42"/>
      <c r="Y712" s="42"/>
      <c r="Z712" s="42"/>
      <c r="AA712" s="44"/>
      <c r="AB712" s="44"/>
      <c r="AC712" s="44"/>
      <c r="AD712" s="42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</row>
    <row r="713" spans="1:55" ht="1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26"/>
      <c r="M713" s="8"/>
      <c r="N713" s="8"/>
      <c r="O713" s="42"/>
      <c r="P713" s="42"/>
      <c r="Q713" s="42"/>
      <c r="R713" s="42"/>
      <c r="S713" s="42"/>
      <c r="T713" s="42"/>
      <c r="U713" s="42"/>
      <c r="V713" s="42"/>
      <c r="W713" s="44"/>
      <c r="X713" s="42"/>
      <c r="Y713" s="42"/>
      <c r="Z713" s="42"/>
      <c r="AA713" s="44"/>
      <c r="AB713" s="44"/>
      <c r="AC713" s="44"/>
      <c r="AD713" s="42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</row>
    <row r="714" spans="1:55" ht="1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26"/>
      <c r="M714" s="8"/>
      <c r="N714" s="8"/>
      <c r="O714" s="42"/>
      <c r="P714" s="42"/>
      <c r="Q714" s="42"/>
      <c r="R714" s="42"/>
      <c r="S714" s="42"/>
      <c r="T714" s="42"/>
      <c r="U714" s="42"/>
      <c r="V714" s="42"/>
      <c r="W714" s="44"/>
      <c r="X714" s="42"/>
      <c r="Y714" s="42"/>
      <c r="Z714" s="42"/>
      <c r="AA714" s="44"/>
      <c r="AB714" s="44"/>
      <c r="AC714" s="44"/>
      <c r="AD714" s="42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</row>
    <row r="715" spans="1:55" ht="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26"/>
      <c r="M715" s="8"/>
      <c r="N715" s="8"/>
      <c r="O715" s="42"/>
      <c r="P715" s="42"/>
      <c r="Q715" s="42"/>
      <c r="R715" s="42"/>
      <c r="S715" s="42"/>
      <c r="T715" s="42"/>
      <c r="U715" s="42"/>
      <c r="V715" s="42"/>
      <c r="W715" s="44"/>
      <c r="X715" s="42"/>
      <c r="Y715" s="42"/>
      <c r="Z715" s="42"/>
      <c r="AA715" s="44"/>
      <c r="AB715" s="44"/>
      <c r="AC715" s="44"/>
      <c r="AD715" s="42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</row>
    <row r="716" spans="1:55" ht="1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26"/>
      <c r="M716" s="8"/>
      <c r="N716" s="8"/>
      <c r="O716" s="42"/>
      <c r="P716" s="42"/>
      <c r="Q716" s="42"/>
      <c r="R716" s="42"/>
      <c r="S716" s="42"/>
      <c r="T716" s="42"/>
      <c r="U716" s="42"/>
      <c r="V716" s="42"/>
      <c r="W716" s="44"/>
      <c r="X716" s="42"/>
      <c r="Y716" s="42"/>
      <c r="Z716" s="42"/>
      <c r="AA716" s="44"/>
      <c r="AB716" s="44"/>
      <c r="AC716" s="44"/>
      <c r="AD716" s="42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</row>
    <row r="717" spans="1:55" ht="1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26"/>
      <c r="M717" s="8"/>
      <c r="N717" s="8"/>
      <c r="O717" s="42"/>
      <c r="P717" s="42"/>
      <c r="Q717" s="42"/>
      <c r="R717" s="42"/>
      <c r="S717" s="42"/>
      <c r="T717" s="42"/>
      <c r="U717" s="42"/>
      <c r="V717" s="42"/>
      <c r="W717" s="44"/>
      <c r="X717" s="42"/>
      <c r="Y717" s="42"/>
      <c r="Z717" s="42"/>
      <c r="AA717" s="44"/>
      <c r="AB717" s="44"/>
      <c r="AC717" s="44"/>
      <c r="AD717" s="42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</row>
    <row r="718" spans="1:55" ht="1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26"/>
      <c r="M718" s="8"/>
      <c r="N718" s="8"/>
      <c r="O718" s="42"/>
      <c r="P718" s="42"/>
      <c r="Q718" s="42"/>
      <c r="R718" s="42"/>
      <c r="S718" s="42"/>
      <c r="T718" s="42"/>
      <c r="U718" s="42"/>
      <c r="V718" s="42"/>
      <c r="W718" s="44"/>
      <c r="X718" s="42"/>
      <c r="Y718" s="42"/>
      <c r="Z718" s="42"/>
      <c r="AA718" s="44"/>
      <c r="AB718" s="44"/>
      <c r="AC718" s="44"/>
      <c r="AD718" s="42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</row>
    <row r="719" spans="1:55" ht="1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26"/>
      <c r="M719" s="8"/>
      <c r="N719" s="8"/>
      <c r="O719" s="42"/>
      <c r="P719" s="42"/>
      <c r="Q719" s="42"/>
      <c r="R719" s="42"/>
      <c r="S719" s="42"/>
      <c r="T719" s="42"/>
      <c r="U719" s="42"/>
      <c r="V719" s="42"/>
      <c r="W719" s="44"/>
      <c r="X719" s="42"/>
      <c r="Y719" s="42"/>
      <c r="Z719" s="42"/>
      <c r="AA719" s="44"/>
      <c r="AB719" s="44"/>
      <c r="AC719" s="44"/>
      <c r="AD719" s="42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</row>
    <row r="720" spans="1:55" ht="1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26"/>
      <c r="M720" s="8"/>
      <c r="N720" s="8"/>
      <c r="O720" s="42"/>
      <c r="P720" s="42"/>
      <c r="Q720" s="42"/>
      <c r="R720" s="42"/>
      <c r="S720" s="42"/>
      <c r="T720" s="42"/>
      <c r="U720" s="42"/>
      <c r="V720" s="42"/>
      <c r="W720" s="44"/>
      <c r="X720" s="42"/>
      <c r="Y720" s="42"/>
      <c r="Z720" s="42"/>
      <c r="AA720" s="44"/>
      <c r="AB720" s="44"/>
      <c r="AC720" s="44"/>
      <c r="AD720" s="42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</row>
    <row r="721" spans="1:55" ht="1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26"/>
      <c r="M721" s="8"/>
      <c r="N721" s="8"/>
      <c r="O721" s="42"/>
      <c r="P721" s="42"/>
      <c r="Q721" s="42"/>
      <c r="R721" s="42"/>
      <c r="S721" s="42"/>
      <c r="T721" s="42"/>
      <c r="U721" s="42"/>
      <c r="V721" s="42"/>
      <c r="W721" s="44"/>
      <c r="X721" s="42"/>
      <c r="Y721" s="42"/>
      <c r="Z721" s="42"/>
      <c r="AA721" s="44"/>
      <c r="AB721" s="44"/>
      <c r="AC721" s="44"/>
      <c r="AD721" s="42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</row>
    <row r="722" spans="1:55" ht="1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26"/>
      <c r="M722" s="8"/>
      <c r="N722" s="8"/>
      <c r="O722" s="42"/>
      <c r="P722" s="42"/>
      <c r="Q722" s="42"/>
      <c r="R722" s="42"/>
      <c r="S722" s="42"/>
      <c r="T722" s="42"/>
      <c r="U722" s="42"/>
      <c r="V722" s="42"/>
      <c r="W722" s="44"/>
      <c r="X722" s="42"/>
      <c r="Y722" s="42"/>
      <c r="Z722" s="42"/>
      <c r="AA722" s="44"/>
      <c r="AB722" s="44"/>
      <c r="AC722" s="44"/>
      <c r="AD722" s="42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</row>
    <row r="723" spans="1:55" ht="1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26"/>
      <c r="M723" s="8"/>
      <c r="N723" s="8"/>
      <c r="O723" s="42"/>
      <c r="P723" s="42"/>
      <c r="Q723" s="42"/>
      <c r="R723" s="42"/>
      <c r="S723" s="42"/>
      <c r="T723" s="42"/>
      <c r="U723" s="42"/>
      <c r="V723" s="42"/>
      <c r="W723" s="44"/>
      <c r="X723" s="42"/>
      <c r="Y723" s="42"/>
      <c r="Z723" s="42"/>
      <c r="AA723" s="44"/>
      <c r="AB723" s="44"/>
      <c r="AC723" s="44"/>
      <c r="AD723" s="42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</row>
    <row r="724" spans="1:55" ht="1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26"/>
      <c r="M724" s="8"/>
      <c r="N724" s="8"/>
      <c r="O724" s="42"/>
      <c r="P724" s="42"/>
      <c r="Q724" s="42"/>
      <c r="R724" s="42"/>
      <c r="S724" s="42"/>
      <c r="T724" s="42"/>
      <c r="U724" s="42"/>
      <c r="V724" s="42"/>
      <c r="W724" s="44"/>
      <c r="X724" s="42"/>
      <c r="Y724" s="42"/>
      <c r="Z724" s="42"/>
      <c r="AA724" s="44"/>
      <c r="AB724" s="44"/>
      <c r="AC724" s="44"/>
      <c r="AD724" s="42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</row>
    <row r="725" spans="1:55" ht="1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26"/>
      <c r="M725" s="8"/>
      <c r="N725" s="8"/>
      <c r="O725" s="42"/>
      <c r="P725" s="42"/>
      <c r="Q725" s="42"/>
      <c r="R725" s="42"/>
      <c r="S725" s="42"/>
      <c r="T725" s="42"/>
      <c r="U725" s="42"/>
      <c r="V725" s="42"/>
      <c r="W725" s="44"/>
      <c r="X725" s="42"/>
      <c r="Y725" s="42"/>
      <c r="Z725" s="42"/>
      <c r="AA725" s="44"/>
      <c r="AB725" s="44"/>
      <c r="AC725" s="44"/>
      <c r="AD725" s="42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</row>
    <row r="726" spans="1:55" ht="1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26"/>
      <c r="M726" s="8"/>
      <c r="N726" s="8"/>
      <c r="O726" s="42"/>
      <c r="P726" s="42"/>
      <c r="Q726" s="42"/>
      <c r="R726" s="42"/>
      <c r="S726" s="42"/>
      <c r="T726" s="42"/>
      <c r="U726" s="42"/>
      <c r="V726" s="42"/>
      <c r="W726" s="44"/>
      <c r="X726" s="42"/>
      <c r="Y726" s="42"/>
      <c r="Z726" s="42"/>
      <c r="AA726" s="44"/>
      <c r="AB726" s="44"/>
      <c r="AC726" s="44"/>
      <c r="AD726" s="42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</row>
    <row r="727" spans="1:55" ht="1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26"/>
      <c r="M727" s="8"/>
      <c r="N727" s="8"/>
      <c r="O727" s="42"/>
      <c r="P727" s="42"/>
      <c r="Q727" s="42"/>
      <c r="R727" s="42"/>
      <c r="S727" s="42"/>
      <c r="T727" s="42"/>
      <c r="U727" s="42"/>
      <c r="V727" s="42"/>
      <c r="W727" s="44"/>
      <c r="X727" s="42"/>
      <c r="Y727" s="42"/>
      <c r="Z727" s="42"/>
      <c r="AA727" s="44"/>
      <c r="AB727" s="44"/>
      <c r="AC727" s="44"/>
      <c r="AD727" s="42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</row>
    <row r="728" spans="1:55" ht="1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26"/>
      <c r="M728" s="8"/>
      <c r="N728" s="8"/>
      <c r="O728" s="42"/>
      <c r="P728" s="42"/>
      <c r="Q728" s="42"/>
      <c r="R728" s="42"/>
      <c r="S728" s="42"/>
      <c r="T728" s="42"/>
      <c r="U728" s="42"/>
      <c r="V728" s="42"/>
      <c r="W728" s="44"/>
      <c r="X728" s="42"/>
      <c r="Y728" s="42"/>
      <c r="Z728" s="42"/>
      <c r="AA728" s="44"/>
      <c r="AB728" s="44"/>
      <c r="AC728" s="44"/>
      <c r="AD728" s="42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</row>
    <row r="729" spans="1:55" ht="1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26"/>
      <c r="M729" s="8"/>
      <c r="N729" s="8"/>
      <c r="O729" s="42"/>
      <c r="P729" s="42"/>
      <c r="Q729" s="42"/>
      <c r="R729" s="42"/>
      <c r="S729" s="42"/>
      <c r="T729" s="42"/>
      <c r="U729" s="42"/>
      <c r="V729" s="42"/>
      <c r="W729" s="44"/>
      <c r="X729" s="42"/>
      <c r="Y729" s="42"/>
      <c r="Z729" s="42"/>
      <c r="AA729" s="44"/>
      <c r="AB729" s="44"/>
      <c r="AC729" s="44"/>
      <c r="AD729" s="42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</row>
    <row r="730" spans="1:55" ht="1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26"/>
      <c r="M730" s="8"/>
      <c r="N730" s="8"/>
      <c r="O730" s="42"/>
      <c r="P730" s="42"/>
      <c r="Q730" s="42"/>
      <c r="R730" s="42"/>
      <c r="S730" s="42"/>
      <c r="T730" s="42"/>
      <c r="U730" s="42"/>
      <c r="V730" s="42"/>
      <c r="W730" s="44"/>
      <c r="X730" s="42"/>
      <c r="Y730" s="42"/>
      <c r="Z730" s="42"/>
      <c r="AA730" s="44"/>
      <c r="AB730" s="44"/>
      <c r="AC730" s="44"/>
      <c r="AD730" s="42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</row>
    <row r="731" spans="1:55" ht="1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26"/>
      <c r="M731" s="8"/>
      <c r="N731" s="8"/>
      <c r="O731" s="42"/>
      <c r="P731" s="42"/>
      <c r="Q731" s="42"/>
      <c r="R731" s="42"/>
      <c r="S731" s="42"/>
      <c r="T731" s="42"/>
      <c r="U731" s="42"/>
      <c r="V731" s="42"/>
      <c r="W731" s="44"/>
      <c r="X731" s="42"/>
      <c r="Y731" s="42"/>
      <c r="Z731" s="42"/>
      <c r="AA731" s="44"/>
      <c r="AB731" s="44"/>
      <c r="AC731" s="44"/>
      <c r="AD731" s="42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</row>
    <row r="732" spans="1:55" ht="1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26"/>
      <c r="M732" s="8"/>
      <c r="N732" s="8"/>
      <c r="O732" s="42"/>
      <c r="P732" s="42"/>
      <c r="Q732" s="42"/>
      <c r="R732" s="42"/>
      <c r="S732" s="42"/>
      <c r="T732" s="42"/>
      <c r="U732" s="42"/>
      <c r="V732" s="42"/>
      <c r="W732" s="44"/>
      <c r="X732" s="42"/>
      <c r="Y732" s="42"/>
      <c r="Z732" s="42"/>
      <c r="AA732" s="44"/>
      <c r="AB732" s="44"/>
      <c r="AC732" s="44"/>
      <c r="AD732" s="42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</row>
    <row r="733" spans="1:55" ht="1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26"/>
      <c r="M733" s="8"/>
      <c r="N733" s="8"/>
      <c r="O733" s="42"/>
      <c r="P733" s="42"/>
      <c r="Q733" s="42"/>
      <c r="R733" s="42"/>
      <c r="S733" s="42"/>
      <c r="T733" s="42"/>
      <c r="U733" s="42"/>
      <c r="V733" s="42"/>
      <c r="W733" s="44"/>
      <c r="X733" s="42"/>
      <c r="Y733" s="42"/>
      <c r="Z733" s="42"/>
      <c r="AA733" s="44"/>
      <c r="AB733" s="44"/>
      <c r="AC733" s="44"/>
      <c r="AD733" s="42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</row>
    <row r="734" spans="1:55" ht="1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26"/>
      <c r="M734" s="8"/>
      <c r="N734" s="8"/>
      <c r="O734" s="42"/>
      <c r="P734" s="42"/>
      <c r="Q734" s="42"/>
      <c r="R734" s="42"/>
      <c r="S734" s="42"/>
      <c r="T734" s="42"/>
      <c r="U734" s="42"/>
      <c r="V734" s="42"/>
      <c r="W734" s="44"/>
      <c r="X734" s="42"/>
      <c r="Y734" s="42"/>
      <c r="Z734" s="42"/>
      <c r="AA734" s="44"/>
      <c r="AB734" s="44"/>
      <c r="AC734" s="44"/>
      <c r="AD734" s="42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</row>
    <row r="735" spans="1:55" ht="1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26"/>
      <c r="M735" s="8"/>
      <c r="N735" s="8"/>
      <c r="O735" s="42"/>
      <c r="P735" s="42"/>
      <c r="Q735" s="42"/>
      <c r="R735" s="42"/>
      <c r="S735" s="42"/>
      <c r="T735" s="42"/>
      <c r="U735" s="42"/>
      <c r="V735" s="42"/>
      <c r="W735" s="44"/>
      <c r="X735" s="42"/>
      <c r="Y735" s="42"/>
      <c r="Z735" s="42"/>
      <c r="AA735" s="44"/>
      <c r="AB735" s="44"/>
      <c r="AC735" s="44"/>
      <c r="AD735" s="42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</row>
    <row r="736" spans="1:55" ht="1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26"/>
      <c r="M736" s="8"/>
      <c r="N736" s="8"/>
      <c r="O736" s="42"/>
      <c r="P736" s="42"/>
      <c r="Q736" s="42"/>
      <c r="R736" s="42"/>
      <c r="S736" s="42"/>
      <c r="T736" s="42"/>
      <c r="U736" s="42"/>
      <c r="V736" s="42"/>
      <c r="W736" s="44"/>
      <c r="X736" s="42"/>
      <c r="Y736" s="42"/>
      <c r="Z736" s="42"/>
      <c r="AA736" s="44"/>
      <c r="AB736" s="44"/>
      <c r="AC736" s="44"/>
      <c r="AD736" s="42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</row>
    <row r="737" spans="1:55" ht="1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26"/>
      <c r="M737" s="8"/>
      <c r="N737" s="8"/>
      <c r="O737" s="42"/>
      <c r="P737" s="42"/>
      <c r="Q737" s="42"/>
      <c r="R737" s="42"/>
      <c r="S737" s="42"/>
      <c r="T737" s="42"/>
      <c r="U737" s="42"/>
      <c r="V737" s="42"/>
      <c r="W737" s="44"/>
      <c r="X737" s="42"/>
      <c r="Y737" s="42"/>
      <c r="Z737" s="42"/>
      <c r="AA737" s="44"/>
      <c r="AB737" s="44"/>
      <c r="AC737" s="44"/>
      <c r="AD737" s="42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</row>
    <row r="738" spans="1:55" ht="1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26"/>
      <c r="M738" s="8"/>
      <c r="N738" s="8"/>
      <c r="O738" s="42"/>
      <c r="P738" s="42"/>
      <c r="Q738" s="42"/>
      <c r="R738" s="42"/>
      <c r="S738" s="42"/>
      <c r="T738" s="42"/>
      <c r="U738" s="42"/>
      <c r="V738" s="42"/>
      <c r="W738" s="44"/>
      <c r="X738" s="42"/>
      <c r="Y738" s="42"/>
      <c r="Z738" s="42"/>
      <c r="AA738" s="44"/>
      <c r="AB738" s="44"/>
      <c r="AC738" s="44"/>
      <c r="AD738" s="42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</row>
    <row r="739" spans="1:55" ht="1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26"/>
      <c r="M739" s="8"/>
      <c r="N739" s="8"/>
      <c r="O739" s="42"/>
      <c r="P739" s="42"/>
      <c r="Q739" s="42"/>
      <c r="R739" s="42"/>
      <c r="S739" s="42"/>
      <c r="T739" s="42"/>
      <c r="U739" s="42"/>
      <c r="V739" s="42"/>
      <c r="W739" s="44"/>
      <c r="X739" s="42"/>
      <c r="Y739" s="42"/>
      <c r="Z739" s="42"/>
      <c r="AA739" s="44"/>
      <c r="AB739" s="44"/>
      <c r="AC739" s="44"/>
      <c r="AD739" s="42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</row>
    <row r="740" spans="1:55" ht="1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26"/>
      <c r="M740" s="8"/>
      <c r="N740" s="8"/>
      <c r="O740" s="42"/>
      <c r="P740" s="42"/>
      <c r="Q740" s="42"/>
      <c r="R740" s="42"/>
      <c r="S740" s="42"/>
      <c r="T740" s="42"/>
      <c r="U740" s="42"/>
      <c r="V740" s="42"/>
      <c r="W740" s="44"/>
      <c r="X740" s="42"/>
      <c r="Y740" s="42"/>
      <c r="Z740" s="42"/>
      <c r="AA740" s="44"/>
      <c r="AB740" s="44"/>
      <c r="AC740" s="44"/>
      <c r="AD740" s="42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</row>
    <row r="741" spans="1:55" ht="1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26"/>
      <c r="M741" s="8"/>
      <c r="N741" s="8"/>
      <c r="O741" s="42"/>
      <c r="P741" s="42"/>
      <c r="Q741" s="42"/>
      <c r="R741" s="42"/>
      <c r="S741" s="42"/>
      <c r="T741" s="42"/>
      <c r="U741" s="42"/>
      <c r="V741" s="42"/>
      <c r="W741" s="44"/>
      <c r="X741" s="42"/>
      <c r="Y741" s="42"/>
      <c r="Z741" s="42"/>
      <c r="AA741" s="44"/>
      <c r="AB741" s="44"/>
      <c r="AC741" s="44"/>
      <c r="AD741" s="42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</row>
    <row r="742" spans="1:55" ht="1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26"/>
      <c r="M742" s="8"/>
      <c r="N742" s="8"/>
      <c r="O742" s="42"/>
      <c r="P742" s="42"/>
      <c r="Q742" s="42"/>
      <c r="R742" s="42"/>
      <c r="S742" s="42"/>
      <c r="T742" s="42"/>
      <c r="U742" s="42"/>
      <c r="V742" s="42"/>
      <c r="W742" s="44"/>
      <c r="X742" s="42"/>
      <c r="Y742" s="42"/>
      <c r="Z742" s="42"/>
      <c r="AA742" s="44"/>
      <c r="AB742" s="44"/>
      <c r="AC742" s="44"/>
      <c r="AD742" s="42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</row>
    <row r="743" spans="1:55" ht="1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26"/>
      <c r="M743" s="8"/>
      <c r="N743" s="8"/>
      <c r="O743" s="42"/>
      <c r="P743" s="42"/>
      <c r="Q743" s="42"/>
      <c r="R743" s="42"/>
      <c r="S743" s="42"/>
      <c r="T743" s="42"/>
      <c r="U743" s="42"/>
      <c r="V743" s="42"/>
      <c r="W743" s="44"/>
      <c r="X743" s="42"/>
      <c r="Y743" s="42"/>
      <c r="Z743" s="42"/>
      <c r="AA743" s="44"/>
      <c r="AB743" s="44"/>
      <c r="AC743" s="44"/>
      <c r="AD743" s="42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</row>
    <row r="744" spans="1:55" ht="1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26"/>
      <c r="M744" s="8"/>
      <c r="N744" s="8"/>
      <c r="O744" s="42"/>
      <c r="P744" s="42"/>
      <c r="Q744" s="42"/>
      <c r="R744" s="42"/>
      <c r="S744" s="42"/>
      <c r="T744" s="42"/>
      <c r="U744" s="42"/>
      <c r="V744" s="42"/>
      <c r="W744" s="44"/>
      <c r="X744" s="42"/>
      <c r="Y744" s="42"/>
      <c r="Z744" s="42"/>
      <c r="AA744" s="44"/>
      <c r="AB744" s="44"/>
      <c r="AC744" s="44"/>
      <c r="AD744" s="42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</row>
    <row r="745" spans="1:55" ht="1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26"/>
      <c r="M745" s="8"/>
      <c r="N745" s="8"/>
      <c r="O745" s="42"/>
      <c r="P745" s="42"/>
      <c r="Q745" s="42"/>
      <c r="R745" s="42"/>
      <c r="S745" s="42"/>
      <c r="T745" s="42"/>
      <c r="U745" s="42"/>
      <c r="V745" s="42"/>
      <c r="W745" s="44"/>
      <c r="X745" s="42"/>
      <c r="Y745" s="42"/>
      <c r="Z745" s="42"/>
      <c r="AA745" s="44"/>
      <c r="AB745" s="44"/>
      <c r="AC745" s="44"/>
      <c r="AD745" s="42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</row>
    <row r="746" spans="1:55" ht="1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26"/>
      <c r="M746" s="8"/>
      <c r="N746" s="8"/>
      <c r="O746" s="42"/>
      <c r="P746" s="42"/>
      <c r="Q746" s="42"/>
      <c r="R746" s="42"/>
      <c r="S746" s="42"/>
      <c r="T746" s="42"/>
      <c r="U746" s="42"/>
      <c r="V746" s="42"/>
      <c r="W746" s="44"/>
      <c r="X746" s="42"/>
      <c r="Y746" s="42"/>
      <c r="Z746" s="42"/>
      <c r="AA746" s="44"/>
      <c r="AB746" s="44"/>
      <c r="AC746" s="44"/>
      <c r="AD746" s="42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</row>
    <row r="747" spans="1:55" ht="1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26"/>
      <c r="M747" s="8"/>
      <c r="N747" s="8"/>
      <c r="O747" s="42"/>
      <c r="P747" s="42"/>
      <c r="Q747" s="42"/>
      <c r="R747" s="42"/>
      <c r="S747" s="42"/>
      <c r="T747" s="42"/>
      <c r="U747" s="42"/>
      <c r="V747" s="42"/>
      <c r="W747" s="44"/>
      <c r="X747" s="42"/>
      <c r="Y747" s="42"/>
      <c r="Z747" s="42"/>
      <c r="AA747" s="44"/>
      <c r="AB747" s="44"/>
      <c r="AC747" s="44"/>
      <c r="AD747" s="42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</row>
    <row r="748" spans="1:55" ht="1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26"/>
      <c r="M748" s="8"/>
      <c r="N748" s="8"/>
      <c r="O748" s="42"/>
      <c r="P748" s="42"/>
      <c r="Q748" s="42"/>
      <c r="R748" s="42"/>
      <c r="S748" s="42"/>
      <c r="T748" s="42"/>
      <c r="U748" s="42"/>
      <c r="V748" s="42"/>
      <c r="W748" s="44"/>
      <c r="X748" s="42"/>
      <c r="Y748" s="42"/>
      <c r="Z748" s="42"/>
      <c r="AA748" s="44"/>
      <c r="AB748" s="44"/>
      <c r="AC748" s="44"/>
      <c r="AD748" s="42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</row>
    <row r="749" spans="1:55" ht="1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26"/>
      <c r="M749" s="8"/>
      <c r="N749" s="8"/>
      <c r="O749" s="42"/>
      <c r="P749" s="42"/>
      <c r="Q749" s="42"/>
      <c r="R749" s="42"/>
      <c r="S749" s="42"/>
      <c r="T749" s="42"/>
      <c r="U749" s="42"/>
      <c r="V749" s="42"/>
      <c r="W749" s="44"/>
      <c r="X749" s="42"/>
      <c r="Y749" s="42"/>
      <c r="Z749" s="42"/>
      <c r="AA749" s="44"/>
      <c r="AB749" s="44"/>
      <c r="AC749" s="44"/>
      <c r="AD749" s="42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</row>
    <row r="750" spans="1:55" ht="1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26"/>
      <c r="M750" s="8"/>
      <c r="N750" s="8"/>
      <c r="O750" s="42"/>
      <c r="P750" s="42"/>
      <c r="Q750" s="42"/>
      <c r="R750" s="42"/>
      <c r="S750" s="42"/>
      <c r="T750" s="42"/>
      <c r="U750" s="42"/>
      <c r="V750" s="42"/>
      <c r="W750" s="44"/>
      <c r="X750" s="42"/>
      <c r="Y750" s="42"/>
      <c r="Z750" s="42"/>
      <c r="AA750" s="44"/>
      <c r="AB750" s="44"/>
      <c r="AC750" s="44"/>
      <c r="AD750" s="42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</row>
    <row r="751" spans="1:55" ht="1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26"/>
      <c r="M751" s="8"/>
      <c r="N751" s="8"/>
      <c r="O751" s="42"/>
      <c r="P751" s="42"/>
      <c r="Q751" s="42"/>
      <c r="R751" s="42"/>
      <c r="S751" s="42"/>
      <c r="T751" s="42"/>
      <c r="U751" s="42"/>
      <c r="V751" s="42"/>
      <c r="W751" s="44"/>
      <c r="X751" s="42"/>
      <c r="Y751" s="42"/>
      <c r="Z751" s="42"/>
      <c r="AA751" s="44"/>
      <c r="AB751" s="44"/>
      <c r="AC751" s="44"/>
      <c r="AD751" s="42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</row>
    <row r="752" spans="1:55" ht="1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26"/>
      <c r="M752" s="8"/>
      <c r="N752" s="8"/>
      <c r="O752" s="42"/>
      <c r="P752" s="42"/>
      <c r="Q752" s="42"/>
      <c r="R752" s="42"/>
      <c r="S752" s="42"/>
      <c r="T752" s="42"/>
      <c r="U752" s="42"/>
      <c r="V752" s="42"/>
      <c r="W752" s="44"/>
      <c r="X752" s="42"/>
      <c r="Y752" s="42"/>
      <c r="Z752" s="42"/>
      <c r="AA752" s="44"/>
      <c r="AB752" s="44"/>
      <c r="AC752" s="44"/>
      <c r="AD752" s="42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</row>
    <row r="753" spans="1:55" ht="1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26"/>
      <c r="M753" s="8"/>
      <c r="N753" s="8"/>
      <c r="O753" s="42"/>
      <c r="P753" s="42"/>
      <c r="Q753" s="42"/>
      <c r="R753" s="42"/>
      <c r="S753" s="42"/>
      <c r="T753" s="42"/>
      <c r="U753" s="42"/>
      <c r="V753" s="42"/>
      <c r="W753" s="44"/>
      <c r="X753" s="42"/>
      <c r="Y753" s="42"/>
      <c r="Z753" s="42"/>
      <c r="AA753" s="44"/>
      <c r="AB753" s="44"/>
      <c r="AC753" s="44"/>
      <c r="AD753" s="42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</row>
    <row r="754" spans="1:55" ht="1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26"/>
      <c r="M754" s="8"/>
      <c r="N754" s="8"/>
      <c r="O754" s="42"/>
      <c r="P754" s="42"/>
      <c r="Q754" s="42"/>
      <c r="R754" s="42"/>
      <c r="S754" s="42"/>
      <c r="T754" s="42"/>
      <c r="U754" s="42"/>
      <c r="V754" s="42"/>
      <c r="W754" s="44"/>
      <c r="X754" s="42"/>
      <c r="Y754" s="42"/>
      <c r="Z754" s="42"/>
      <c r="AA754" s="44"/>
      <c r="AB754" s="44"/>
      <c r="AC754" s="44"/>
      <c r="AD754" s="42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</row>
    <row r="755" spans="1:55" ht="1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26"/>
      <c r="M755" s="8"/>
      <c r="N755" s="8"/>
      <c r="O755" s="42"/>
      <c r="P755" s="42"/>
      <c r="Q755" s="42"/>
      <c r="R755" s="42"/>
      <c r="S755" s="42"/>
      <c r="T755" s="42"/>
      <c r="U755" s="42"/>
      <c r="V755" s="42"/>
      <c r="W755" s="44"/>
      <c r="X755" s="42"/>
      <c r="Y755" s="42"/>
      <c r="Z755" s="42"/>
      <c r="AA755" s="44"/>
      <c r="AB755" s="44"/>
      <c r="AC755" s="44"/>
      <c r="AD755" s="42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</row>
    <row r="756" spans="1:55" ht="1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26"/>
      <c r="M756" s="8"/>
      <c r="N756" s="8"/>
      <c r="O756" s="42"/>
      <c r="P756" s="42"/>
      <c r="Q756" s="42"/>
      <c r="R756" s="42"/>
      <c r="S756" s="42"/>
      <c r="T756" s="42"/>
      <c r="U756" s="42"/>
      <c r="V756" s="42"/>
      <c r="W756" s="44"/>
      <c r="X756" s="42"/>
      <c r="Y756" s="42"/>
      <c r="Z756" s="42"/>
      <c r="AA756" s="44"/>
      <c r="AB756" s="44"/>
      <c r="AC756" s="44"/>
      <c r="AD756" s="42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</row>
    <row r="757" spans="1:55" ht="1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26"/>
      <c r="M757" s="8"/>
      <c r="N757" s="8"/>
      <c r="O757" s="42"/>
      <c r="P757" s="42"/>
      <c r="Q757" s="42"/>
      <c r="R757" s="42"/>
      <c r="S757" s="42"/>
      <c r="T757" s="42"/>
      <c r="U757" s="42"/>
      <c r="V757" s="42"/>
      <c r="W757" s="44"/>
      <c r="X757" s="42"/>
      <c r="Y757" s="42"/>
      <c r="Z757" s="42"/>
      <c r="AA757" s="44"/>
      <c r="AB757" s="44"/>
      <c r="AC757" s="44"/>
      <c r="AD757" s="42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</row>
    <row r="758" spans="1:55" ht="1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26"/>
      <c r="M758" s="8"/>
      <c r="N758" s="8"/>
      <c r="O758" s="42"/>
      <c r="P758" s="42"/>
      <c r="Q758" s="42"/>
      <c r="R758" s="42"/>
      <c r="S758" s="42"/>
      <c r="T758" s="42"/>
      <c r="U758" s="42"/>
      <c r="V758" s="42"/>
      <c r="W758" s="44"/>
      <c r="X758" s="42"/>
      <c r="Y758" s="42"/>
      <c r="Z758" s="42"/>
      <c r="AA758" s="44"/>
      <c r="AB758" s="44"/>
      <c r="AC758" s="44"/>
      <c r="AD758" s="42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</row>
    <row r="759" spans="1:55" ht="1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26"/>
      <c r="M759" s="8"/>
      <c r="N759" s="8"/>
      <c r="O759" s="42"/>
      <c r="P759" s="42"/>
      <c r="Q759" s="42"/>
      <c r="R759" s="42"/>
      <c r="S759" s="42"/>
      <c r="T759" s="42"/>
      <c r="U759" s="42"/>
      <c r="V759" s="42"/>
      <c r="W759" s="44"/>
      <c r="X759" s="42"/>
      <c r="Y759" s="42"/>
      <c r="Z759" s="42"/>
      <c r="AA759" s="44"/>
      <c r="AB759" s="44"/>
      <c r="AC759" s="44"/>
      <c r="AD759" s="42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</row>
    <row r="760" spans="1:55" ht="1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26"/>
      <c r="M760" s="8"/>
      <c r="N760" s="8"/>
      <c r="O760" s="42"/>
      <c r="P760" s="42"/>
      <c r="Q760" s="42"/>
      <c r="R760" s="42"/>
      <c r="S760" s="42"/>
      <c r="T760" s="42"/>
      <c r="U760" s="42"/>
      <c r="V760" s="42"/>
      <c r="W760" s="44"/>
      <c r="X760" s="42"/>
      <c r="Y760" s="42"/>
      <c r="Z760" s="42"/>
      <c r="AA760" s="44"/>
      <c r="AB760" s="44"/>
      <c r="AC760" s="44"/>
      <c r="AD760" s="42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</row>
    <row r="761" spans="1:55" ht="1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26"/>
      <c r="M761" s="8"/>
      <c r="N761" s="8"/>
      <c r="O761" s="42"/>
      <c r="P761" s="42"/>
      <c r="Q761" s="42"/>
      <c r="R761" s="42"/>
      <c r="S761" s="42"/>
      <c r="T761" s="42"/>
      <c r="U761" s="42"/>
      <c r="V761" s="42"/>
      <c r="W761" s="44"/>
      <c r="X761" s="42"/>
      <c r="Y761" s="42"/>
      <c r="Z761" s="42"/>
      <c r="AA761" s="44"/>
      <c r="AB761" s="44"/>
      <c r="AC761" s="44"/>
      <c r="AD761" s="42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</row>
    <row r="762" spans="1:55" ht="1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26"/>
      <c r="M762" s="8"/>
      <c r="N762" s="8"/>
      <c r="O762" s="42"/>
      <c r="P762" s="42"/>
      <c r="Q762" s="42"/>
      <c r="R762" s="42"/>
      <c r="S762" s="42"/>
      <c r="T762" s="42"/>
      <c r="U762" s="42"/>
      <c r="V762" s="42"/>
      <c r="W762" s="44"/>
      <c r="X762" s="42"/>
      <c r="Y762" s="42"/>
      <c r="Z762" s="42"/>
      <c r="AA762" s="44"/>
      <c r="AB762" s="44"/>
      <c r="AC762" s="44"/>
      <c r="AD762" s="42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</row>
    <row r="763" spans="1:55" ht="1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26"/>
      <c r="M763" s="8"/>
      <c r="N763" s="8"/>
      <c r="O763" s="42"/>
      <c r="P763" s="42"/>
      <c r="Q763" s="42"/>
      <c r="R763" s="42"/>
      <c r="S763" s="42"/>
      <c r="T763" s="42"/>
      <c r="U763" s="42"/>
      <c r="V763" s="42"/>
      <c r="W763" s="44"/>
      <c r="X763" s="42"/>
      <c r="Y763" s="42"/>
      <c r="Z763" s="42"/>
      <c r="AA763" s="44"/>
      <c r="AB763" s="44"/>
      <c r="AC763" s="44"/>
      <c r="AD763" s="42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</row>
    <row r="764" spans="1:55" ht="1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26"/>
      <c r="M764" s="8"/>
      <c r="N764" s="8"/>
      <c r="O764" s="42"/>
      <c r="P764" s="42"/>
      <c r="Q764" s="42"/>
      <c r="R764" s="42"/>
      <c r="S764" s="42"/>
      <c r="T764" s="42"/>
      <c r="U764" s="42"/>
      <c r="V764" s="42"/>
      <c r="W764" s="44"/>
      <c r="X764" s="42"/>
      <c r="Y764" s="42"/>
      <c r="Z764" s="42"/>
      <c r="AA764" s="44"/>
      <c r="AB764" s="44"/>
      <c r="AC764" s="44"/>
      <c r="AD764" s="42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</row>
    <row r="765" spans="1:55" ht="1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26"/>
      <c r="M765" s="8"/>
      <c r="N765" s="8"/>
      <c r="O765" s="42"/>
      <c r="P765" s="42"/>
      <c r="Q765" s="42"/>
      <c r="R765" s="42"/>
      <c r="S765" s="42"/>
      <c r="T765" s="42"/>
      <c r="U765" s="42"/>
      <c r="V765" s="42"/>
      <c r="W765" s="44"/>
      <c r="X765" s="42"/>
      <c r="Y765" s="42"/>
      <c r="Z765" s="42"/>
      <c r="AA765" s="44"/>
      <c r="AB765" s="44"/>
      <c r="AC765" s="44"/>
      <c r="AD765" s="42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</row>
    <row r="766" spans="1:55" ht="1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26"/>
      <c r="M766" s="8"/>
      <c r="N766" s="8"/>
      <c r="O766" s="42"/>
      <c r="P766" s="42"/>
      <c r="Q766" s="42"/>
      <c r="R766" s="42"/>
      <c r="S766" s="42"/>
      <c r="T766" s="42"/>
      <c r="U766" s="42"/>
      <c r="V766" s="42"/>
      <c r="W766" s="44"/>
      <c r="X766" s="42"/>
      <c r="Y766" s="42"/>
      <c r="Z766" s="42"/>
      <c r="AA766" s="44"/>
      <c r="AB766" s="44"/>
      <c r="AC766" s="44"/>
      <c r="AD766" s="42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</row>
    <row r="767" spans="1:55" ht="1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26"/>
      <c r="M767" s="8"/>
      <c r="N767" s="8"/>
      <c r="O767" s="42"/>
      <c r="P767" s="42"/>
      <c r="Q767" s="42"/>
      <c r="R767" s="42"/>
      <c r="S767" s="42"/>
      <c r="T767" s="42"/>
      <c r="U767" s="42"/>
      <c r="V767" s="42"/>
      <c r="W767" s="44"/>
      <c r="X767" s="42"/>
      <c r="Y767" s="42"/>
      <c r="Z767" s="42"/>
      <c r="AA767" s="44"/>
      <c r="AB767" s="44"/>
      <c r="AC767" s="44"/>
      <c r="AD767" s="42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</row>
    <row r="768" spans="1:55" ht="1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26"/>
      <c r="M768" s="8"/>
      <c r="N768" s="8"/>
      <c r="O768" s="42"/>
      <c r="P768" s="42"/>
      <c r="Q768" s="42"/>
      <c r="R768" s="42"/>
      <c r="S768" s="42"/>
      <c r="T768" s="42"/>
      <c r="U768" s="42"/>
      <c r="V768" s="42"/>
      <c r="W768" s="44"/>
      <c r="X768" s="42"/>
      <c r="Y768" s="42"/>
      <c r="Z768" s="42"/>
      <c r="AA768" s="44"/>
      <c r="AB768" s="44"/>
      <c r="AC768" s="44"/>
      <c r="AD768" s="42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</row>
    <row r="769" spans="1:55" ht="1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26"/>
      <c r="M769" s="8"/>
      <c r="N769" s="8"/>
      <c r="O769" s="42"/>
      <c r="P769" s="42"/>
      <c r="Q769" s="42"/>
      <c r="R769" s="42"/>
      <c r="S769" s="42"/>
      <c r="T769" s="42"/>
      <c r="U769" s="42"/>
      <c r="V769" s="42"/>
      <c r="W769" s="44"/>
      <c r="X769" s="42"/>
      <c r="Y769" s="42"/>
      <c r="Z769" s="42"/>
      <c r="AA769" s="44"/>
      <c r="AB769" s="44"/>
      <c r="AC769" s="44"/>
      <c r="AD769" s="42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</row>
    <row r="770" spans="1:55" ht="1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26"/>
      <c r="M770" s="8"/>
      <c r="N770" s="8"/>
      <c r="O770" s="42"/>
      <c r="P770" s="42"/>
      <c r="Q770" s="42"/>
      <c r="R770" s="42"/>
      <c r="S770" s="42"/>
      <c r="T770" s="42"/>
      <c r="U770" s="42"/>
      <c r="V770" s="42"/>
      <c r="W770" s="44"/>
      <c r="X770" s="42"/>
      <c r="Y770" s="42"/>
      <c r="Z770" s="42"/>
      <c r="AA770" s="44"/>
      <c r="AB770" s="44"/>
      <c r="AC770" s="44"/>
      <c r="AD770" s="42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</row>
    <row r="771" spans="1:55" ht="1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26"/>
      <c r="M771" s="8"/>
      <c r="N771" s="8"/>
      <c r="O771" s="42"/>
      <c r="P771" s="42"/>
      <c r="Q771" s="42"/>
      <c r="R771" s="42"/>
      <c r="S771" s="42"/>
      <c r="T771" s="42"/>
      <c r="U771" s="42"/>
      <c r="V771" s="42"/>
      <c r="W771" s="44"/>
      <c r="X771" s="42"/>
      <c r="Y771" s="42"/>
      <c r="Z771" s="42"/>
      <c r="AA771" s="44"/>
      <c r="AB771" s="44"/>
      <c r="AC771" s="44"/>
      <c r="AD771" s="42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</row>
    <row r="772" spans="1:55" ht="1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26"/>
      <c r="M772" s="8"/>
      <c r="N772" s="8"/>
      <c r="O772" s="42"/>
      <c r="P772" s="42"/>
      <c r="Q772" s="42"/>
      <c r="R772" s="42"/>
      <c r="S772" s="42"/>
      <c r="T772" s="42"/>
      <c r="U772" s="42"/>
      <c r="V772" s="42"/>
      <c r="W772" s="44"/>
      <c r="X772" s="42"/>
      <c r="Y772" s="42"/>
      <c r="Z772" s="42"/>
      <c r="AA772" s="44"/>
      <c r="AB772" s="44"/>
      <c r="AC772" s="44"/>
      <c r="AD772" s="42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</row>
    <row r="773" spans="1:55" ht="1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26"/>
      <c r="M773" s="8"/>
      <c r="N773" s="8"/>
      <c r="O773" s="42"/>
      <c r="P773" s="42"/>
      <c r="Q773" s="42"/>
      <c r="R773" s="42"/>
      <c r="S773" s="42"/>
      <c r="T773" s="42"/>
      <c r="U773" s="42"/>
      <c r="V773" s="42"/>
      <c r="W773" s="44"/>
      <c r="X773" s="42"/>
      <c r="Y773" s="42"/>
      <c r="Z773" s="42"/>
      <c r="AA773" s="44"/>
      <c r="AB773" s="44"/>
      <c r="AC773" s="44"/>
      <c r="AD773" s="42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</row>
    <row r="774" spans="1:55" ht="1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26"/>
      <c r="M774" s="8"/>
      <c r="N774" s="8"/>
      <c r="O774" s="42"/>
      <c r="P774" s="42"/>
      <c r="Q774" s="42"/>
      <c r="R774" s="42"/>
      <c r="S774" s="42"/>
      <c r="T774" s="42"/>
      <c r="U774" s="42"/>
      <c r="V774" s="42"/>
      <c r="W774" s="44"/>
      <c r="X774" s="42"/>
      <c r="Y774" s="42"/>
      <c r="Z774" s="42"/>
      <c r="AA774" s="44"/>
      <c r="AB774" s="44"/>
      <c r="AC774" s="44"/>
      <c r="AD774" s="42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</row>
    <row r="775" spans="1:55" ht="1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26"/>
      <c r="M775" s="8"/>
      <c r="N775" s="8"/>
      <c r="O775" s="42"/>
      <c r="P775" s="42"/>
      <c r="Q775" s="42"/>
      <c r="R775" s="42"/>
      <c r="S775" s="42"/>
      <c r="T775" s="42"/>
      <c r="U775" s="42"/>
      <c r="V775" s="42"/>
      <c r="W775" s="44"/>
      <c r="X775" s="42"/>
      <c r="Y775" s="42"/>
      <c r="Z775" s="42"/>
      <c r="AA775" s="44"/>
      <c r="AB775" s="44"/>
      <c r="AC775" s="44"/>
      <c r="AD775" s="42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</row>
    <row r="776" spans="1:55" ht="1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26"/>
      <c r="M776" s="8"/>
      <c r="N776" s="8"/>
      <c r="O776" s="42"/>
      <c r="P776" s="42"/>
      <c r="Q776" s="42"/>
      <c r="R776" s="42"/>
      <c r="S776" s="42"/>
      <c r="T776" s="42"/>
      <c r="U776" s="42"/>
      <c r="V776" s="42"/>
      <c r="W776" s="44"/>
      <c r="X776" s="42"/>
      <c r="Y776" s="42"/>
      <c r="Z776" s="42"/>
      <c r="AA776" s="44"/>
      <c r="AB776" s="44"/>
      <c r="AC776" s="44"/>
      <c r="AD776" s="42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</row>
    <row r="777" spans="1:55" ht="1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26"/>
      <c r="M777" s="8"/>
      <c r="N777" s="8"/>
      <c r="O777" s="42"/>
      <c r="P777" s="42"/>
      <c r="Q777" s="42"/>
      <c r="R777" s="42"/>
      <c r="S777" s="42"/>
      <c r="T777" s="42"/>
      <c r="U777" s="42"/>
      <c r="V777" s="42"/>
      <c r="W777" s="44"/>
      <c r="X777" s="42"/>
      <c r="Y777" s="42"/>
      <c r="Z777" s="42"/>
      <c r="AA777" s="44"/>
      <c r="AB777" s="44"/>
      <c r="AC777" s="44"/>
      <c r="AD777" s="42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</row>
    <row r="778" spans="1:55" ht="1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26"/>
      <c r="M778" s="8"/>
      <c r="N778" s="8"/>
      <c r="O778" s="42"/>
      <c r="P778" s="42"/>
      <c r="Q778" s="42"/>
      <c r="R778" s="42"/>
      <c r="S778" s="42"/>
      <c r="T778" s="42"/>
      <c r="U778" s="42"/>
      <c r="V778" s="42"/>
      <c r="W778" s="44"/>
      <c r="X778" s="42"/>
      <c r="Y778" s="42"/>
      <c r="Z778" s="42"/>
      <c r="AA778" s="44"/>
      <c r="AB778" s="44"/>
      <c r="AC778" s="44"/>
      <c r="AD778" s="42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</row>
    <row r="779" spans="1:55" ht="1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26"/>
      <c r="M779" s="8"/>
      <c r="N779" s="8"/>
      <c r="O779" s="42"/>
      <c r="P779" s="42"/>
      <c r="Q779" s="42"/>
      <c r="R779" s="42"/>
      <c r="S779" s="42"/>
      <c r="T779" s="42"/>
      <c r="U779" s="42"/>
      <c r="V779" s="42"/>
      <c r="W779" s="44"/>
      <c r="X779" s="42"/>
      <c r="Y779" s="42"/>
      <c r="Z779" s="42"/>
      <c r="AA779" s="44"/>
      <c r="AB779" s="44"/>
      <c r="AC779" s="44"/>
      <c r="AD779" s="42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</row>
    <row r="780" spans="1:55" ht="1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26"/>
      <c r="M780" s="8"/>
      <c r="N780" s="8"/>
      <c r="O780" s="42"/>
      <c r="P780" s="42"/>
      <c r="Q780" s="42"/>
      <c r="R780" s="42"/>
      <c r="S780" s="42"/>
      <c r="T780" s="42"/>
      <c r="U780" s="42"/>
      <c r="V780" s="42"/>
      <c r="W780" s="44"/>
      <c r="X780" s="42"/>
      <c r="Y780" s="42"/>
      <c r="Z780" s="42"/>
      <c r="AA780" s="44"/>
      <c r="AB780" s="44"/>
      <c r="AC780" s="44"/>
      <c r="AD780" s="42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</row>
    <row r="781" spans="1:55" ht="1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26"/>
      <c r="M781" s="8"/>
      <c r="N781" s="8"/>
      <c r="O781" s="42"/>
      <c r="P781" s="42"/>
      <c r="Q781" s="42"/>
      <c r="R781" s="42"/>
      <c r="S781" s="42"/>
      <c r="T781" s="42"/>
      <c r="U781" s="42"/>
      <c r="V781" s="42"/>
      <c r="W781" s="44"/>
      <c r="X781" s="42"/>
      <c r="Y781" s="42"/>
      <c r="Z781" s="42"/>
      <c r="AA781" s="44"/>
      <c r="AB781" s="44"/>
      <c r="AC781" s="44"/>
      <c r="AD781" s="42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</row>
    <row r="782" spans="1:55" ht="1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26"/>
      <c r="M782" s="8"/>
      <c r="N782" s="8"/>
      <c r="O782" s="42"/>
      <c r="P782" s="42"/>
      <c r="Q782" s="42"/>
      <c r="R782" s="42"/>
      <c r="S782" s="42"/>
      <c r="T782" s="42"/>
      <c r="U782" s="42"/>
      <c r="V782" s="42"/>
      <c r="W782" s="44"/>
      <c r="X782" s="42"/>
      <c r="Y782" s="42"/>
      <c r="Z782" s="42"/>
      <c r="AA782" s="44"/>
      <c r="AB782" s="44"/>
      <c r="AC782" s="44"/>
      <c r="AD782" s="42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</row>
    <row r="783" spans="1:55" ht="1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26"/>
      <c r="M783" s="8"/>
      <c r="N783" s="8"/>
      <c r="O783" s="42"/>
      <c r="P783" s="42"/>
      <c r="Q783" s="42"/>
      <c r="R783" s="42"/>
      <c r="S783" s="42"/>
      <c r="T783" s="42"/>
      <c r="U783" s="42"/>
      <c r="V783" s="42"/>
      <c r="W783" s="44"/>
      <c r="X783" s="42"/>
      <c r="Y783" s="42"/>
      <c r="Z783" s="42"/>
      <c r="AA783" s="44"/>
      <c r="AB783" s="44"/>
      <c r="AC783" s="44"/>
      <c r="AD783" s="42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</row>
    <row r="784" spans="1:55" ht="1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26"/>
      <c r="M784" s="8"/>
      <c r="N784" s="8"/>
      <c r="O784" s="42"/>
      <c r="P784" s="42"/>
      <c r="Q784" s="42"/>
      <c r="R784" s="42"/>
      <c r="S784" s="42"/>
      <c r="T784" s="42"/>
      <c r="U784" s="42"/>
      <c r="V784" s="42"/>
      <c r="W784" s="44"/>
      <c r="X784" s="42"/>
      <c r="Y784" s="42"/>
      <c r="Z784" s="42"/>
      <c r="AA784" s="44"/>
      <c r="AB784" s="44"/>
      <c r="AC784" s="44"/>
      <c r="AD784" s="42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</row>
    <row r="785" spans="1:55" ht="1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26"/>
      <c r="M785" s="8"/>
      <c r="N785" s="8"/>
      <c r="O785" s="42"/>
      <c r="P785" s="42"/>
      <c r="Q785" s="42"/>
      <c r="R785" s="42"/>
      <c r="S785" s="42"/>
      <c r="T785" s="42"/>
      <c r="U785" s="42"/>
      <c r="V785" s="42"/>
      <c r="W785" s="44"/>
      <c r="X785" s="42"/>
      <c r="Y785" s="42"/>
      <c r="Z785" s="42"/>
      <c r="AA785" s="44"/>
      <c r="AB785" s="44"/>
      <c r="AC785" s="44"/>
      <c r="AD785" s="42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</row>
    <row r="786" spans="1:55" ht="1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26"/>
      <c r="M786" s="8"/>
      <c r="N786" s="8"/>
      <c r="O786" s="42"/>
      <c r="P786" s="42"/>
      <c r="Q786" s="42"/>
      <c r="R786" s="42"/>
      <c r="S786" s="42"/>
      <c r="T786" s="42"/>
      <c r="U786" s="42"/>
      <c r="V786" s="42"/>
      <c r="W786" s="44"/>
      <c r="X786" s="42"/>
      <c r="Y786" s="42"/>
      <c r="Z786" s="42"/>
      <c r="AA786" s="44"/>
      <c r="AB786" s="44"/>
      <c r="AC786" s="44"/>
      <c r="AD786" s="42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</row>
    <row r="787" spans="1:55" ht="1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26"/>
      <c r="M787" s="8"/>
      <c r="N787" s="8"/>
      <c r="O787" s="42"/>
      <c r="P787" s="42"/>
      <c r="Q787" s="42"/>
      <c r="R787" s="42"/>
      <c r="S787" s="42"/>
      <c r="T787" s="42"/>
      <c r="U787" s="42"/>
      <c r="V787" s="42"/>
      <c r="W787" s="44"/>
      <c r="X787" s="42"/>
      <c r="Y787" s="42"/>
      <c r="Z787" s="42"/>
      <c r="AA787" s="44"/>
      <c r="AB787" s="44"/>
      <c r="AC787" s="44"/>
      <c r="AD787" s="42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</row>
    <row r="788" spans="1:55" ht="1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26"/>
      <c r="M788" s="8"/>
      <c r="N788" s="8"/>
      <c r="O788" s="42"/>
      <c r="P788" s="42"/>
      <c r="Q788" s="42"/>
      <c r="R788" s="42"/>
      <c r="S788" s="42"/>
      <c r="T788" s="42"/>
      <c r="U788" s="42"/>
      <c r="V788" s="42"/>
      <c r="W788" s="44"/>
      <c r="X788" s="42"/>
      <c r="Y788" s="42"/>
      <c r="Z788" s="42"/>
      <c r="AA788" s="44"/>
      <c r="AB788" s="44"/>
      <c r="AC788" s="44"/>
      <c r="AD788" s="42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</row>
    <row r="789" spans="1:55" ht="1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26"/>
      <c r="M789" s="8"/>
      <c r="N789" s="8"/>
      <c r="O789" s="42"/>
      <c r="P789" s="42"/>
      <c r="Q789" s="42"/>
      <c r="R789" s="42"/>
      <c r="S789" s="42"/>
      <c r="T789" s="42"/>
      <c r="U789" s="42"/>
      <c r="V789" s="42"/>
      <c r="W789" s="44"/>
      <c r="X789" s="42"/>
      <c r="Y789" s="42"/>
      <c r="Z789" s="42"/>
      <c r="AA789" s="44"/>
      <c r="AB789" s="44"/>
      <c r="AC789" s="44"/>
      <c r="AD789" s="42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</row>
    <row r="790" spans="1:55" ht="1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26"/>
      <c r="M790" s="8"/>
      <c r="N790" s="8"/>
      <c r="O790" s="42"/>
      <c r="P790" s="42"/>
      <c r="Q790" s="42"/>
      <c r="R790" s="42"/>
      <c r="S790" s="42"/>
      <c r="T790" s="42"/>
      <c r="U790" s="42"/>
      <c r="V790" s="42"/>
      <c r="W790" s="44"/>
      <c r="X790" s="42"/>
      <c r="Y790" s="42"/>
      <c r="Z790" s="42"/>
      <c r="AA790" s="44"/>
      <c r="AB790" s="44"/>
      <c r="AC790" s="44"/>
      <c r="AD790" s="42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</row>
    <row r="791" spans="1:55" ht="1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26"/>
      <c r="M791" s="8"/>
      <c r="N791" s="8"/>
      <c r="O791" s="42"/>
      <c r="P791" s="42"/>
      <c r="Q791" s="42"/>
      <c r="R791" s="42"/>
      <c r="S791" s="42"/>
      <c r="T791" s="42"/>
      <c r="U791" s="42"/>
      <c r="V791" s="42"/>
      <c r="W791" s="44"/>
      <c r="X791" s="42"/>
      <c r="Y791" s="42"/>
      <c r="Z791" s="42"/>
      <c r="AA791" s="44"/>
      <c r="AB791" s="44"/>
      <c r="AC791" s="44"/>
      <c r="AD791" s="42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</row>
    <row r="792" spans="1:55" ht="1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26"/>
      <c r="M792" s="8"/>
      <c r="N792" s="8"/>
      <c r="O792" s="42"/>
      <c r="P792" s="42"/>
      <c r="Q792" s="42"/>
      <c r="R792" s="42"/>
      <c r="S792" s="42"/>
      <c r="T792" s="42"/>
      <c r="U792" s="42"/>
      <c r="V792" s="42"/>
      <c r="W792" s="44"/>
      <c r="X792" s="42"/>
      <c r="Y792" s="42"/>
      <c r="Z792" s="42"/>
      <c r="AA792" s="44"/>
      <c r="AB792" s="44"/>
      <c r="AC792" s="44"/>
      <c r="AD792" s="42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</row>
    <row r="793" spans="1:55" ht="1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26"/>
      <c r="M793" s="8"/>
      <c r="N793" s="8"/>
      <c r="O793" s="42"/>
      <c r="P793" s="42"/>
      <c r="Q793" s="42"/>
      <c r="R793" s="42"/>
      <c r="S793" s="42"/>
      <c r="T793" s="42"/>
      <c r="U793" s="42"/>
      <c r="V793" s="42"/>
      <c r="W793" s="44"/>
      <c r="X793" s="42"/>
      <c r="Y793" s="42"/>
      <c r="Z793" s="42"/>
      <c r="AA793" s="44"/>
      <c r="AB793" s="44"/>
      <c r="AC793" s="44"/>
      <c r="AD793" s="42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</row>
    <row r="794" spans="1:55" ht="1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26"/>
      <c r="M794" s="8"/>
      <c r="N794" s="8"/>
      <c r="O794" s="42"/>
      <c r="P794" s="42"/>
      <c r="Q794" s="42"/>
      <c r="R794" s="42"/>
      <c r="S794" s="42"/>
      <c r="T794" s="42"/>
      <c r="U794" s="42"/>
      <c r="V794" s="42"/>
      <c r="W794" s="44"/>
      <c r="X794" s="42"/>
      <c r="Y794" s="42"/>
      <c r="Z794" s="42"/>
      <c r="AA794" s="44"/>
      <c r="AB794" s="44"/>
      <c r="AC794" s="44"/>
      <c r="AD794" s="42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</row>
    <row r="795" spans="1:55" ht="1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26"/>
      <c r="M795" s="8"/>
      <c r="N795" s="8"/>
      <c r="O795" s="42"/>
      <c r="P795" s="42"/>
      <c r="Q795" s="42"/>
      <c r="R795" s="42"/>
      <c r="S795" s="42"/>
      <c r="T795" s="42"/>
      <c r="U795" s="42"/>
      <c r="V795" s="42"/>
      <c r="W795" s="44"/>
      <c r="X795" s="42"/>
      <c r="Y795" s="42"/>
      <c r="Z795" s="42"/>
      <c r="AA795" s="44"/>
      <c r="AB795" s="44"/>
      <c r="AC795" s="44"/>
      <c r="AD795" s="42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</row>
    <row r="796" spans="1:55" ht="1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26"/>
      <c r="M796" s="8"/>
      <c r="N796" s="8"/>
      <c r="O796" s="42"/>
      <c r="P796" s="42"/>
      <c r="Q796" s="42"/>
      <c r="R796" s="42"/>
      <c r="S796" s="42"/>
      <c r="T796" s="42"/>
      <c r="U796" s="42"/>
      <c r="V796" s="42"/>
      <c r="W796" s="44"/>
      <c r="X796" s="42"/>
      <c r="Y796" s="42"/>
      <c r="Z796" s="42"/>
      <c r="AA796" s="44"/>
      <c r="AB796" s="44"/>
      <c r="AC796" s="44"/>
      <c r="AD796" s="42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</row>
    <row r="797" spans="1:55" ht="1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26"/>
      <c r="M797" s="8"/>
      <c r="N797" s="8"/>
      <c r="O797" s="42"/>
      <c r="P797" s="42"/>
      <c r="Q797" s="42"/>
      <c r="R797" s="42"/>
      <c r="S797" s="42"/>
      <c r="T797" s="42"/>
      <c r="U797" s="42"/>
      <c r="V797" s="42"/>
      <c r="W797" s="44"/>
      <c r="X797" s="42"/>
      <c r="Y797" s="42"/>
      <c r="Z797" s="42"/>
      <c r="AA797" s="44"/>
      <c r="AB797" s="44"/>
      <c r="AC797" s="44"/>
      <c r="AD797" s="42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</row>
    <row r="798" spans="1:55" ht="1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26"/>
      <c r="M798" s="8"/>
      <c r="N798" s="8"/>
      <c r="O798" s="42"/>
      <c r="P798" s="42"/>
      <c r="Q798" s="42"/>
      <c r="R798" s="42"/>
      <c r="S798" s="42"/>
      <c r="T798" s="42"/>
      <c r="U798" s="42"/>
      <c r="V798" s="42"/>
      <c r="W798" s="44"/>
      <c r="X798" s="42"/>
      <c r="Y798" s="42"/>
      <c r="Z798" s="42"/>
      <c r="AA798" s="44"/>
      <c r="AB798" s="44"/>
      <c r="AC798" s="44"/>
      <c r="AD798" s="42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</row>
    <row r="799" spans="1:55" ht="1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26"/>
      <c r="M799" s="8"/>
      <c r="N799" s="8"/>
      <c r="O799" s="42"/>
      <c r="P799" s="42"/>
      <c r="Q799" s="42"/>
      <c r="R799" s="42"/>
      <c r="S799" s="42"/>
      <c r="T799" s="42"/>
      <c r="U799" s="42"/>
      <c r="V799" s="42"/>
      <c r="W799" s="44"/>
      <c r="X799" s="42"/>
      <c r="Y799" s="42"/>
      <c r="Z799" s="42"/>
      <c r="AA799" s="44"/>
      <c r="AB799" s="44"/>
      <c r="AC799" s="44"/>
      <c r="AD799" s="42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</row>
    <row r="800" spans="1:55" ht="1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26"/>
      <c r="M800" s="8"/>
      <c r="N800" s="8"/>
      <c r="O800" s="42"/>
      <c r="P800" s="42"/>
      <c r="Q800" s="42"/>
      <c r="R800" s="42"/>
      <c r="S800" s="42"/>
      <c r="T800" s="42"/>
      <c r="U800" s="42"/>
      <c r="V800" s="42"/>
      <c r="W800" s="44"/>
      <c r="X800" s="42"/>
      <c r="Y800" s="42"/>
      <c r="Z800" s="42"/>
      <c r="AA800" s="44"/>
      <c r="AB800" s="44"/>
      <c r="AC800" s="44"/>
      <c r="AD800" s="42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</row>
    <row r="801" spans="1:55" ht="1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26"/>
      <c r="M801" s="8"/>
      <c r="N801" s="8"/>
      <c r="O801" s="42"/>
      <c r="P801" s="42"/>
      <c r="Q801" s="42"/>
      <c r="R801" s="42"/>
      <c r="S801" s="42"/>
      <c r="T801" s="42"/>
      <c r="U801" s="42"/>
      <c r="V801" s="42"/>
      <c r="W801" s="44"/>
      <c r="X801" s="42"/>
      <c r="Y801" s="42"/>
      <c r="Z801" s="42"/>
      <c r="AA801" s="44"/>
      <c r="AB801" s="44"/>
      <c r="AC801" s="44"/>
      <c r="AD801" s="42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</row>
    <row r="802" spans="1:55" ht="1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26"/>
      <c r="M802" s="8"/>
      <c r="N802" s="8"/>
      <c r="O802" s="42"/>
      <c r="P802" s="42"/>
      <c r="Q802" s="42"/>
      <c r="R802" s="42"/>
      <c r="S802" s="42"/>
      <c r="T802" s="42"/>
      <c r="U802" s="42"/>
      <c r="V802" s="42"/>
      <c r="W802" s="44"/>
      <c r="X802" s="42"/>
      <c r="Y802" s="42"/>
      <c r="Z802" s="42"/>
      <c r="AA802" s="44"/>
      <c r="AB802" s="44"/>
      <c r="AC802" s="44"/>
      <c r="AD802" s="42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</row>
    <row r="803" spans="1:55" ht="1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26"/>
      <c r="M803" s="8"/>
      <c r="N803" s="8"/>
      <c r="O803" s="42"/>
      <c r="P803" s="42"/>
      <c r="Q803" s="42"/>
      <c r="R803" s="42"/>
      <c r="S803" s="42"/>
      <c r="T803" s="42"/>
      <c r="U803" s="42"/>
      <c r="V803" s="42"/>
      <c r="W803" s="44"/>
      <c r="X803" s="42"/>
      <c r="Y803" s="42"/>
      <c r="Z803" s="42"/>
      <c r="AA803" s="44"/>
      <c r="AB803" s="44"/>
      <c r="AC803" s="44"/>
      <c r="AD803" s="42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</row>
    <row r="804" spans="1:55" ht="1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26"/>
      <c r="M804" s="8"/>
      <c r="N804" s="8"/>
      <c r="O804" s="42"/>
      <c r="P804" s="42"/>
      <c r="Q804" s="42"/>
      <c r="R804" s="42"/>
      <c r="S804" s="42"/>
      <c r="T804" s="42"/>
      <c r="U804" s="42"/>
      <c r="V804" s="42"/>
      <c r="W804" s="44"/>
      <c r="X804" s="42"/>
      <c r="Y804" s="42"/>
      <c r="Z804" s="42"/>
      <c r="AA804" s="44"/>
      <c r="AB804" s="44"/>
      <c r="AC804" s="44"/>
      <c r="AD804" s="42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</row>
    <row r="805" spans="1:55" ht="1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26"/>
      <c r="M805" s="8"/>
      <c r="N805" s="8"/>
      <c r="O805" s="42"/>
      <c r="P805" s="42"/>
      <c r="Q805" s="42"/>
      <c r="R805" s="42"/>
      <c r="S805" s="42"/>
      <c r="T805" s="42"/>
      <c r="U805" s="42"/>
      <c r="V805" s="42"/>
      <c r="W805" s="44"/>
      <c r="X805" s="42"/>
      <c r="Y805" s="42"/>
      <c r="Z805" s="42"/>
      <c r="AA805" s="44"/>
      <c r="AB805" s="44"/>
      <c r="AC805" s="44"/>
      <c r="AD805" s="42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</row>
    <row r="806" spans="1:55" ht="1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26"/>
      <c r="M806" s="8"/>
      <c r="N806" s="8"/>
      <c r="O806" s="42"/>
      <c r="P806" s="42"/>
      <c r="Q806" s="42"/>
      <c r="R806" s="42"/>
      <c r="S806" s="42"/>
      <c r="T806" s="42"/>
      <c r="U806" s="42"/>
      <c r="V806" s="42"/>
      <c r="W806" s="44"/>
      <c r="X806" s="42"/>
      <c r="Y806" s="42"/>
      <c r="Z806" s="42"/>
      <c r="AA806" s="44"/>
      <c r="AB806" s="44"/>
      <c r="AC806" s="44"/>
      <c r="AD806" s="42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</row>
    <row r="807" spans="1:55" ht="1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26"/>
      <c r="M807" s="8"/>
      <c r="N807" s="8"/>
      <c r="O807" s="42"/>
      <c r="P807" s="42"/>
      <c r="Q807" s="42"/>
      <c r="R807" s="42"/>
      <c r="S807" s="42"/>
      <c r="T807" s="42"/>
      <c r="U807" s="42"/>
      <c r="V807" s="42"/>
      <c r="W807" s="44"/>
      <c r="X807" s="42"/>
      <c r="Y807" s="42"/>
      <c r="Z807" s="42"/>
      <c r="AA807" s="44"/>
      <c r="AB807" s="44"/>
      <c r="AC807" s="44"/>
      <c r="AD807" s="42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</row>
    <row r="808" spans="1:55" ht="1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26"/>
      <c r="M808" s="8"/>
      <c r="N808" s="8"/>
      <c r="O808" s="42"/>
      <c r="P808" s="42"/>
      <c r="Q808" s="42"/>
      <c r="R808" s="42"/>
      <c r="S808" s="42"/>
      <c r="T808" s="42"/>
      <c r="U808" s="42"/>
      <c r="V808" s="42"/>
      <c r="W808" s="44"/>
      <c r="X808" s="42"/>
      <c r="Y808" s="42"/>
      <c r="Z808" s="42"/>
      <c r="AA808" s="44"/>
      <c r="AB808" s="44"/>
      <c r="AC808" s="44"/>
      <c r="AD808" s="42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</row>
    <row r="809" spans="1:55" ht="1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26"/>
      <c r="M809" s="8"/>
      <c r="N809" s="8"/>
      <c r="O809" s="42"/>
      <c r="P809" s="42"/>
      <c r="Q809" s="42"/>
      <c r="R809" s="42"/>
      <c r="S809" s="42"/>
      <c r="T809" s="42"/>
      <c r="U809" s="42"/>
      <c r="V809" s="42"/>
      <c r="W809" s="44"/>
      <c r="X809" s="42"/>
      <c r="Y809" s="42"/>
      <c r="Z809" s="42"/>
      <c r="AA809" s="44"/>
      <c r="AB809" s="44"/>
      <c r="AC809" s="44"/>
      <c r="AD809" s="42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</row>
    <row r="810" spans="1:55" ht="1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26"/>
      <c r="M810" s="8"/>
      <c r="N810" s="8"/>
      <c r="O810" s="42"/>
      <c r="P810" s="42"/>
      <c r="Q810" s="42"/>
      <c r="R810" s="42"/>
      <c r="S810" s="42"/>
      <c r="T810" s="42"/>
      <c r="U810" s="42"/>
      <c r="V810" s="42"/>
      <c r="W810" s="44"/>
      <c r="X810" s="42"/>
      <c r="Y810" s="42"/>
      <c r="Z810" s="42"/>
      <c r="AA810" s="44"/>
      <c r="AB810" s="44"/>
      <c r="AC810" s="44"/>
      <c r="AD810" s="42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</row>
    <row r="811" spans="1:55" ht="1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26"/>
      <c r="M811" s="8"/>
      <c r="N811" s="8"/>
      <c r="O811" s="42"/>
      <c r="P811" s="42"/>
      <c r="Q811" s="42"/>
      <c r="R811" s="42"/>
      <c r="S811" s="42"/>
      <c r="T811" s="42"/>
      <c r="U811" s="42"/>
      <c r="V811" s="42"/>
      <c r="W811" s="44"/>
      <c r="X811" s="42"/>
      <c r="Y811" s="42"/>
      <c r="Z811" s="42"/>
      <c r="AA811" s="44"/>
      <c r="AB811" s="44"/>
      <c r="AC811" s="44"/>
      <c r="AD811" s="42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</row>
    <row r="812" spans="1:55" ht="1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26"/>
      <c r="M812" s="8"/>
      <c r="N812" s="8"/>
      <c r="O812" s="42"/>
      <c r="P812" s="42"/>
      <c r="Q812" s="42"/>
      <c r="R812" s="42"/>
      <c r="S812" s="42"/>
      <c r="T812" s="42"/>
      <c r="U812" s="42"/>
      <c r="V812" s="42"/>
      <c r="W812" s="44"/>
      <c r="X812" s="42"/>
      <c r="Y812" s="42"/>
      <c r="Z812" s="42"/>
      <c r="AA812" s="44"/>
      <c r="AB812" s="44"/>
      <c r="AC812" s="44"/>
      <c r="AD812" s="42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</row>
    <row r="813" spans="1:55" ht="1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26"/>
      <c r="M813" s="8"/>
      <c r="N813" s="8"/>
      <c r="O813" s="42"/>
      <c r="P813" s="42"/>
      <c r="Q813" s="42"/>
      <c r="R813" s="42"/>
      <c r="S813" s="42"/>
      <c r="T813" s="42"/>
      <c r="U813" s="42"/>
      <c r="V813" s="42"/>
      <c r="W813" s="44"/>
      <c r="X813" s="42"/>
      <c r="Y813" s="42"/>
      <c r="Z813" s="42"/>
      <c r="AA813" s="44"/>
      <c r="AB813" s="44"/>
      <c r="AC813" s="44"/>
      <c r="AD813" s="42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</row>
    <row r="814" spans="1:55" ht="1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26"/>
      <c r="M814" s="8"/>
      <c r="N814" s="8"/>
      <c r="O814" s="42"/>
      <c r="P814" s="42"/>
      <c r="Q814" s="42"/>
      <c r="R814" s="42"/>
      <c r="S814" s="42"/>
      <c r="T814" s="42"/>
      <c r="U814" s="42"/>
      <c r="V814" s="42"/>
      <c r="W814" s="44"/>
      <c r="X814" s="42"/>
      <c r="Y814" s="42"/>
      <c r="Z814" s="42"/>
      <c r="AA814" s="44"/>
      <c r="AB814" s="44"/>
      <c r="AC814" s="44"/>
      <c r="AD814" s="42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</row>
    <row r="815" spans="1:55" ht="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26"/>
      <c r="M815" s="8"/>
      <c r="N815" s="8"/>
      <c r="O815" s="42"/>
      <c r="P815" s="42"/>
      <c r="Q815" s="42"/>
      <c r="R815" s="42"/>
      <c r="S815" s="42"/>
      <c r="T815" s="42"/>
      <c r="U815" s="42"/>
      <c r="V815" s="42"/>
      <c r="W815" s="44"/>
      <c r="X815" s="42"/>
      <c r="Y815" s="42"/>
      <c r="Z815" s="42"/>
      <c r="AA815" s="44"/>
      <c r="AB815" s="44"/>
      <c r="AC815" s="44"/>
      <c r="AD815" s="42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</row>
    <row r="816" spans="1:55" ht="1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26"/>
      <c r="M816" s="8"/>
      <c r="N816" s="8"/>
      <c r="O816" s="42"/>
      <c r="P816" s="42"/>
      <c r="Q816" s="42"/>
      <c r="R816" s="42"/>
      <c r="S816" s="42"/>
      <c r="T816" s="42"/>
      <c r="U816" s="42"/>
      <c r="V816" s="42"/>
      <c r="W816" s="44"/>
      <c r="X816" s="42"/>
      <c r="Y816" s="42"/>
      <c r="Z816" s="42"/>
      <c r="AA816" s="44"/>
      <c r="AB816" s="44"/>
      <c r="AC816" s="44"/>
      <c r="AD816" s="42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</row>
    <row r="817" spans="1:55" ht="1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26"/>
      <c r="M817" s="8"/>
      <c r="N817" s="8"/>
      <c r="O817" s="42"/>
      <c r="P817" s="42"/>
      <c r="Q817" s="42"/>
      <c r="R817" s="42"/>
      <c r="S817" s="42"/>
      <c r="T817" s="42"/>
      <c r="U817" s="42"/>
      <c r="V817" s="42"/>
      <c r="W817" s="44"/>
      <c r="X817" s="42"/>
      <c r="Y817" s="42"/>
      <c r="Z817" s="42"/>
      <c r="AA817" s="44"/>
      <c r="AB817" s="44"/>
      <c r="AC817" s="44"/>
      <c r="AD817" s="42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</row>
    <row r="818" spans="1:55" ht="1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26"/>
      <c r="M818" s="8"/>
      <c r="N818" s="8"/>
      <c r="O818" s="42"/>
      <c r="P818" s="42"/>
      <c r="Q818" s="42"/>
      <c r="R818" s="42"/>
      <c r="S818" s="42"/>
      <c r="T818" s="42"/>
      <c r="U818" s="42"/>
      <c r="V818" s="42"/>
      <c r="W818" s="44"/>
      <c r="X818" s="42"/>
      <c r="Y818" s="42"/>
      <c r="Z818" s="42"/>
      <c r="AA818" s="44"/>
      <c r="AB818" s="44"/>
      <c r="AC818" s="44"/>
      <c r="AD818" s="42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</row>
    <row r="819" spans="1:55" ht="1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26"/>
      <c r="M819" s="8"/>
      <c r="N819" s="8"/>
      <c r="O819" s="42"/>
      <c r="P819" s="42"/>
      <c r="Q819" s="42"/>
      <c r="R819" s="42"/>
      <c r="S819" s="42"/>
      <c r="T819" s="42"/>
      <c r="U819" s="42"/>
      <c r="V819" s="42"/>
      <c r="W819" s="44"/>
      <c r="X819" s="42"/>
      <c r="Y819" s="42"/>
      <c r="Z819" s="42"/>
      <c r="AA819" s="44"/>
      <c r="AB819" s="44"/>
      <c r="AC819" s="44"/>
      <c r="AD819" s="42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</row>
    <row r="820" spans="1:55" ht="1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26"/>
      <c r="M820" s="8"/>
      <c r="N820" s="8"/>
      <c r="O820" s="42"/>
      <c r="P820" s="42"/>
      <c r="Q820" s="42"/>
      <c r="R820" s="42"/>
      <c r="S820" s="42"/>
      <c r="T820" s="42"/>
      <c r="U820" s="42"/>
      <c r="V820" s="42"/>
      <c r="W820" s="44"/>
      <c r="X820" s="42"/>
      <c r="Y820" s="42"/>
      <c r="Z820" s="42"/>
      <c r="AA820" s="44"/>
      <c r="AB820" s="44"/>
      <c r="AC820" s="44"/>
      <c r="AD820" s="42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</row>
    <row r="821" spans="1:55" ht="1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26"/>
      <c r="M821" s="8"/>
      <c r="N821" s="8"/>
      <c r="O821" s="42"/>
      <c r="P821" s="42"/>
      <c r="Q821" s="42"/>
      <c r="R821" s="42"/>
      <c r="S821" s="42"/>
      <c r="T821" s="42"/>
      <c r="U821" s="42"/>
      <c r="V821" s="42"/>
      <c r="W821" s="44"/>
      <c r="X821" s="42"/>
      <c r="Y821" s="42"/>
      <c r="Z821" s="42"/>
      <c r="AA821" s="44"/>
      <c r="AB821" s="44"/>
      <c r="AC821" s="44"/>
      <c r="AD821" s="42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</row>
    <row r="822" spans="1:55" ht="1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26"/>
      <c r="M822" s="8"/>
      <c r="N822" s="8"/>
      <c r="O822" s="42"/>
      <c r="P822" s="42"/>
      <c r="Q822" s="42"/>
      <c r="R822" s="42"/>
      <c r="S822" s="42"/>
      <c r="T822" s="42"/>
      <c r="U822" s="42"/>
      <c r="V822" s="42"/>
      <c r="W822" s="44"/>
      <c r="X822" s="42"/>
      <c r="Y822" s="42"/>
      <c r="Z822" s="42"/>
      <c r="AA822" s="44"/>
      <c r="AB822" s="44"/>
      <c r="AC822" s="44"/>
      <c r="AD822" s="42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</row>
    <row r="823" spans="1:55" ht="1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26"/>
      <c r="M823" s="8"/>
      <c r="N823" s="8"/>
      <c r="O823" s="42"/>
      <c r="P823" s="42"/>
      <c r="Q823" s="42"/>
      <c r="R823" s="42"/>
      <c r="S823" s="42"/>
      <c r="T823" s="42"/>
      <c r="U823" s="42"/>
      <c r="V823" s="42"/>
      <c r="W823" s="44"/>
      <c r="X823" s="42"/>
      <c r="Y823" s="42"/>
      <c r="Z823" s="42"/>
      <c r="AA823" s="44"/>
      <c r="AB823" s="44"/>
      <c r="AC823" s="44"/>
      <c r="AD823" s="42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</row>
    <row r="824" spans="1:55" ht="1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26"/>
      <c r="M824" s="8"/>
      <c r="N824" s="8"/>
      <c r="O824" s="42"/>
      <c r="P824" s="42"/>
      <c r="Q824" s="42"/>
      <c r="R824" s="42"/>
      <c r="S824" s="42"/>
      <c r="T824" s="42"/>
      <c r="U824" s="42"/>
      <c r="V824" s="42"/>
      <c r="W824" s="44"/>
      <c r="X824" s="42"/>
      <c r="Y824" s="42"/>
      <c r="Z824" s="42"/>
      <c r="AA824" s="44"/>
      <c r="AB824" s="44"/>
      <c r="AC824" s="44"/>
      <c r="AD824" s="42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</row>
    <row r="825" spans="1:55" ht="1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26"/>
      <c r="M825" s="8"/>
      <c r="N825" s="8"/>
      <c r="O825" s="42"/>
      <c r="P825" s="42"/>
      <c r="Q825" s="42"/>
      <c r="R825" s="42"/>
      <c r="S825" s="42"/>
      <c r="T825" s="42"/>
      <c r="U825" s="42"/>
      <c r="V825" s="42"/>
      <c r="W825" s="44"/>
      <c r="X825" s="42"/>
      <c r="Y825" s="42"/>
      <c r="Z825" s="42"/>
      <c r="AA825" s="44"/>
      <c r="AB825" s="44"/>
      <c r="AC825" s="44"/>
      <c r="AD825" s="42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</row>
    <row r="826" spans="1:55" ht="1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26"/>
      <c r="M826" s="8"/>
      <c r="N826" s="8"/>
      <c r="O826" s="42"/>
      <c r="P826" s="42"/>
      <c r="Q826" s="42"/>
      <c r="R826" s="42"/>
      <c r="S826" s="42"/>
      <c r="T826" s="42"/>
      <c r="U826" s="42"/>
      <c r="V826" s="42"/>
      <c r="W826" s="44"/>
      <c r="X826" s="42"/>
      <c r="Y826" s="42"/>
      <c r="Z826" s="42"/>
      <c r="AA826" s="44"/>
      <c r="AB826" s="44"/>
      <c r="AC826" s="44"/>
      <c r="AD826" s="42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</row>
    <row r="827" spans="1:55" ht="1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26"/>
      <c r="M827" s="8"/>
      <c r="N827" s="8"/>
      <c r="O827" s="42"/>
      <c r="P827" s="42"/>
      <c r="Q827" s="42"/>
      <c r="R827" s="42"/>
      <c r="S827" s="42"/>
      <c r="T827" s="42"/>
      <c r="U827" s="42"/>
      <c r="V827" s="42"/>
      <c r="W827" s="44"/>
      <c r="X827" s="42"/>
      <c r="Y827" s="42"/>
      <c r="Z827" s="42"/>
      <c r="AA827" s="44"/>
      <c r="AB827" s="44"/>
      <c r="AC827" s="44"/>
      <c r="AD827" s="42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</row>
    <row r="828" spans="1:55" ht="1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26"/>
      <c r="M828" s="8"/>
      <c r="N828" s="8"/>
      <c r="O828" s="42"/>
      <c r="P828" s="42"/>
      <c r="Q828" s="42"/>
      <c r="R828" s="42"/>
      <c r="S828" s="42"/>
      <c r="T828" s="42"/>
      <c r="U828" s="42"/>
      <c r="V828" s="42"/>
      <c r="W828" s="44"/>
      <c r="X828" s="42"/>
      <c r="Y828" s="42"/>
      <c r="Z828" s="42"/>
      <c r="AA828" s="44"/>
      <c r="AB828" s="44"/>
      <c r="AC828" s="44"/>
      <c r="AD828" s="42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</row>
    <row r="829" spans="1:55" ht="1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26"/>
      <c r="M829" s="8"/>
      <c r="N829" s="8"/>
      <c r="O829" s="42"/>
      <c r="P829" s="42"/>
      <c r="Q829" s="42"/>
      <c r="R829" s="42"/>
      <c r="S829" s="42"/>
      <c r="T829" s="42"/>
      <c r="U829" s="42"/>
      <c r="V829" s="42"/>
      <c r="W829" s="44"/>
      <c r="X829" s="42"/>
      <c r="Y829" s="42"/>
      <c r="Z829" s="42"/>
      <c r="AA829" s="44"/>
      <c r="AB829" s="44"/>
      <c r="AC829" s="44"/>
      <c r="AD829" s="42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</row>
    <row r="830" spans="1:55" ht="1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26"/>
      <c r="M830" s="8"/>
      <c r="N830" s="8"/>
      <c r="O830" s="42"/>
      <c r="P830" s="42"/>
      <c r="Q830" s="42"/>
      <c r="R830" s="42"/>
      <c r="S830" s="42"/>
      <c r="T830" s="42"/>
      <c r="U830" s="42"/>
      <c r="V830" s="42"/>
      <c r="W830" s="44"/>
      <c r="X830" s="42"/>
      <c r="Y830" s="42"/>
      <c r="Z830" s="42"/>
      <c r="AA830" s="44"/>
      <c r="AB830" s="44"/>
      <c r="AC830" s="44"/>
      <c r="AD830" s="42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</row>
    <row r="831" spans="1:55" ht="1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26"/>
      <c r="M831" s="8"/>
      <c r="N831" s="8"/>
      <c r="O831" s="42"/>
      <c r="P831" s="42"/>
      <c r="Q831" s="42"/>
      <c r="R831" s="42"/>
      <c r="S831" s="42"/>
      <c r="T831" s="42"/>
      <c r="U831" s="42"/>
      <c r="V831" s="42"/>
      <c r="W831" s="44"/>
      <c r="X831" s="42"/>
      <c r="Y831" s="42"/>
      <c r="Z831" s="42"/>
      <c r="AA831" s="44"/>
      <c r="AB831" s="44"/>
      <c r="AC831" s="44"/>
      <c r="AD831" s="42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</row>
    <row r="832" spans="1:55" ht="1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26"/>
      <c r="M832" s="8"/>
      <c r="N832" s="8"/>
      <c r="O832" s="42"/>
      <c r="P832" s="42"/>
      <c r="Q832" s="42"/>
      <c r="R832" s="42"/>
      <c r="S832" s="42"/>
      <c r="T832" s="42"/>
      <c r="U832" s="42"/>
      <c r="V832" s="42"/>
      <c r="W832" s="44"/>
      <c r="X832" s="42"/>
      <c r="Y832" s="42"/>
      <c r="Z832" s="42"/>
      <c r="AA832" s="44"/>
      <c r="AB832" s="44"/>
      <c r="AC832" s="44"/>
      <c r="AD832" s="42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</row>
    <row r="833" spans="1:55" ht="1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26"/>
      <c r="M833" s="8"/>
      <c r="N833" s="8"/>
      <c r="O833" s="42"/>
      <c r="P833" s="42"/>
      <c r="Q833" s="42"/>
      <c r="R833" s="42"/>
      <c r="S833" s="42"/>
      <c r="T833" s="42"/>
      <c r="U833" s="42"/>
      <c r="V833" s="42"/>
      <c r="W833" s="44"/>
      <c r="X833" s="42"/>
      <c r="Y833" s="42"/>
      <c r="Z833" s="42"/>
      <c r="AA833" s="44"/>
      <c r="AB833" s="44"/>
      <c r="AC833" s="44"/>
      <c r="AD833" s="42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</row>
    <row r="834" spans="1:55" ht="1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26"/>
      <c r="M834" s="8"/>
      <c r="N834" s="8"/>
      <c r="O834" s="42"/>
      <c r="P834" s="42"/>
      <c r="Q834" s="42"/>
      <c r="R834" s="42"/>
      <c r="S834" s="42"/>
      <c r="T834" s="42"/>
      <c r="U834" s="42"/>
      <c r="V834" s="42"/>
      <c r="W834" s="44"/>
      <c r="X834" s="42"/>
      <c r="Y834" s="42"/>
      <c r="Z834" s="42"/>
      <c r="AA834" s="44"/>
      <c r="AB834" s="44"/>
      <c r="AC834" s="44"/>
      <c r="AD834" s="42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</row>
    <row r="835" spans="1:55" ht="1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26"/>
      <c r="M835" s="8"/>
      <c r="N835" s="8"/>
      <c r="O835" s="42"/>
      <c r="P835" s="42"/>
      <c r="Q835" s="42"/>
      <c r="R835" s="42"/>
      <c r="S835" s="42"/>
      <c r="T835" s="42"/>
      <c r="U835" s="42"/>
      <c r="V835" s="42"/>
      <c r="W835" s="44"/>
      <c r="X835" s="42"/>
      <c r="Y835" s="42"/>
      <c r="Z835" s="42"/>
      <c r="AA835" s="44"/>
      <c r="AB835" s="44"/>
      <c r="AC835" s="44"/>
      <c r="AD835" s="42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</row>
    <row r="836" spans="1:55" ht="1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26"/>
      <c r="M836" s="8"/>
      <c r="N836" s="8"/>
      <c r="O836" s="42"/>
      <c r="P836" s="42"/>
      <c r="Q836" s="42"/>
      <c r="R836" s="42"/>
      <c r="S836" s="42"/>
      <c r="T836" s="42"/>
      <c r="U836" s="42"/>
      <c r="V836" s="42"/>
      <c r="W836" s="44"/>
      <c r="X836" s="42"/>
      <c r="Y836" s="42"/>
      <c r="Z836" s="42"/>
      <c r="AA836" s="44"/>
      <c r="AB836" s="44"/>
      <c r="AC836" s="44"/>
      <c r="AD836" s="42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</row>
    <row r="837" spans="1:55" ht="1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26"/>
      <c r="M837" s="8"/>
      <c r="N837" s="8"/>
      <c r="O837" s="42"/>
      <c r="P837" s="42"/>
      <c r="Q837" s="42"/>
      <c r="R837" s="42"/>
      <c r="S837" s="42"/>
      <c r="T837" s="42"/>
      <c r="U837" s="42"/>
      <c r="V837" s="42"/>
      <c r="W837" s="44"/>
      <c r="X837" s="42"/>
      <c r="Y837" s="42"/>
      <c r="Z837" s="42"/>
      <c r="AA837" s="44"/>
      <c r="AB837" s="44"/>
      <c r="AC837" s="44"/>
      <c r="AD837" s="42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</row>
    <row r="838" spans="1:55" ht="1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26"/>
      <c r="M838" s="8"/>
      <c r="N838" s="8"/>
      <c r="O838" s="42"/>
      <c r="P838" s="42"/>
      <c r="Q838" s="42"/>
      <c r="R838" s="42"/>
      <c r="S838" s="42"/>
      <c r="T838" s="42"/>
      <c r="U838" s="42"/>
      <c r="V838" s="42"/>
      <c r="W838" s="44"/>
      <c r="X838" s="42"/>
      <c r="Y838" s="42"/>
      <c r="Z838" s="42"/>
      <c r="AA838" s="44"/>
      <c r="AB838" s="44"/>
      <c r="AC838" s="44"/>
      <c r="AD838" s="42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</row>
    <row r="839" spans="1:55" ht="1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26"/>
      <c r="M839" s="8"/>
      <c r="N839" s="8"/>
      <c r="O839" s="42"/>
      <c r="P839" s="42"/>
      <c r="Q839" s="42"/>
      <c r="R839" s="42"/>
      <c r="S839" s="42"/>
      <c r="T839" s="42"/>
      <c r="U839" s="42"/>
      <c r="V839" s="42"/>
      <c r="W839" s="44"/>
      <c r="X839" s="42"/>
      <c r="Y839" s="42"/>
      <c r="Z839" s="42"/>
      <c r="AA839" s="44"/>
      <c r="AB839" s="44"/>
      <c r="AC839" s="44"/>
      <c r="AD839" s="42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</row>
    <row r="840" spans="1:55" ht="1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26"/>
      <c r="M840" s="8"/>
      <c r="N840" s="8"/>
      <c r="O840" s="42"/>
      <c r="P840" s="42"/>
      <c r="Q840" s="42"/>
      <c r="R840" s="42"/>
      <c r="S840" s="42"/>
      <c r="T840" s="42"/>
      <c r="U840" s="42"/>
      <c r="V840" s="42"/>
      <c r="W840" s="44"/>
      <c r="X840" s="42"/>
      <c r="Y840" s="42"/>
      <c r="Z840" s="42"/>
      <c r="AA840" s="44"/>
      <c r="AB840" s="44"/>
      <c r="AC840" s="44"/>
      <c r="AD840" s="42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</row>
    <row r="841" spans="1:55" ht="1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26"/>
      <c r="M841" s="8"/>
      <c r="N841" s="8"/>
      <c r="O841" s="42"/>
      <c r="P841" s="42"/>
      <c r="Q841" s="42"/>
      <c r="R841" s="42"/>
      <c r="S841" s="42"/>
      <c r="T841" s="42"/>
      <c r="U841" s="42"/>
      <c r="V841" s="42"/>
      <c r="W841" s="44"/>
      <c r="X841" s="42"/>
      <c r="Y841" s="42"/>
      <c r="Z841" s="42"/>
      <c r="AA841" s="44"/>
      <c r="AB841" s="44"/>
      <c r="AC841" s="44"/>
      <c r="AD841" s="42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</row>
    <row r="842" spans="1:55" ht="1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26"/>
      <c r="M842" s="8"/>
      <c r="N842" s="8"/>
      <c r="O842" s="42"/>
      <c r="P842" s="42"/>
      <c r="Q842" s="42"/>
      <c r="R842" s="42"/>
      <c r="S842" s="42"/>
      <c r="T842" s="42"/>
      <c r="U842" s="42"/>
      <c r="V842" s="42"/>
      <c r="W842" s="44"/>
      <c r="X842" s="42"/>
      <c r="Y842" s="42"/>
      <c r="Z842" s="42"/>
      <c r="AA842" s="44"/>
      <c r="AB842" s="44"/>
      <c r="AC842" s="44"/>
      <c r="AD842" s="42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</row>
    <row r="843" spans="1:55" ht="1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26"/>
      <c r="M843" s="8"/>
      <c r="N843" s="8"/>
      <c r="O843" s="42"/>
      <c r="P843" s="42"/>
      <c r="Q843" s="42"/>
      <c r="R843" s="42"/>
      <c r="S843" s="42"/>
      <c r="T843" s="42"/>
      <c r="U843" s="42"/>
      <c r="V843" s="42"/>
      <c r="W843" s="44"/>
      <c r="X843" s="42"/>
      <c r="Y843" s="42"/>
      <c r="Z843" s="42"/>
      <c r="AA843" s="44"/>
      <c r="AB843" s="44"/>
      <c r="AC843" s="44"/>
      <c r="AD843" s="42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</row>
    <row r="844" spans="1:55" ht="1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26"/>
      <c r="M844" s="8"/>
      <c r="N844" s="8"/>
      <c r="O844" s="42"/>
      <c r="P844" s="42"/>
      <c r="Q844" s="42"/>
      <c r="R844" s="42"/>
      <c r="S844" s="42"/>
      <c r="T844" s="42"/>
      <c r="U844" s="42"/>
      <c r="V844" s="42"/>
      <c r="W844" s="44"/>
      <c r="X844" s="42"/>
      <c r="Y844" s="42"/>
      <c r="Z844" s="42"/>
      <c r="AA844" s="44"/>
      <c r="AB844" s="44"/>
      <c r="AC844" s="44"/>
      <c r="AD844" s="42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</row>
    <row r="845" spans="1:55" ht="1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26"/>
      <c r="M845" s="8"/>
      <c r="N845" s="8"/>
      <c r="O845" s="42"/>
      <c r="P845" s="42"/>
      <c r="Q845" s="42"/>
      <c r="R845" s="42"/>
      <c r="S845" s="42"/>
      <c r="T845" s="42"/>
      <c r="U845" s="42"/>
      <c r="V845" s="42"/>
      <c r="W845" s="44"/>
      <c r="X845" s="42"/>
      <c r="Y845" s="42"/>
      <c r="Z845" s="42"/>
      <c r="AA845" s="44"/>
      <c r="AB845" s="44"/>
      <c r="AC845" s="44"/>
      <c r="AD845" s="42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</row>
    <row r="846" spans="1:55" ht="1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26"/>
      <c r="M846" s="8"/>
      <c r="N846" s="8"/>
      <c r="O846" s="42"/>
      <c r="P846" s="42"/>
      <c r="Q846" s="42"/>
      <c r="R846" s="42"/>
      <c r="S846" s="42"/>
      <c r="T846" s="42"/>
      <c r="U846" s="42"/>
      <c r="V846" s="42"/>
      <c r="W846" s="44"/>
      <c r="X846" s="42"/>
      <c r="Y846" s="42"/>
      <c r="Z846" s="42"/>
      <c r="AA846" s="44"/>
      <c r="AB846" s="44"/>
      <c r="AC846" s="44"/>
      <c r="AD846" s="42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</row>
    <row r="847" spans="1:55" ht="1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26"/>
      <c r="M847" s="8"/>
      <c r="N847" s="8"/>
      <c r="O847" s="42"/>
      <c r="P847" s="42"/>
      <c r="Q847" s="42"/>
      <c r="R847" s="42"/>
      <c r="S847" s="42"/>
      <c r="T847" s="42"/>
      <c r="U847" s="42"/>
      <c r="V847" s="42"/>
      <c r="W847" s="44"/>
      <c r="X847" s="42"/>
      <c r="Y847" s="42"/>
      <c r="Z847" s="42"/>
      <c r="AA847" s="44"/>
      <c r="AB847" s="44"/>
      <c r="AC847" s="44"/>
      <c r="AD847" s="42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</row>
    <row r="848" spans="1:55" ht="1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26"/>
      <c r="M848" s="8"/>
      <c r="N848" s="8"/>
      <c r="O848" s="42"/>
      <c r="P848" s="42"/>
      <c r="Q848" s="42"/>
      <c r="R848" s="42"/>
      <c r="S848" s="42"/>
      <c r="T848" s="42"/>
      <c r="U848" s="42"/>
      <c r="V848" s="42"/>
      <c r="W848" s="44"/>
      <c r="X848" s="42"/>
      <c r="Y848" s="42"/>
      <c r="Z848" s="42"/>
      <c r="AA848" s="44"/>
      <c r="AB848" s="44"/>
      <c r="AC848" s="44"/>
      <c r="AD848" s="42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</row>
    <row r="849" spans="1:55" ht="1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26"/>
      <c r="M849" s="8"/>
      <c r="N849" s="8"/>
      <c r="O849" s="42"/>
      <c r="P849" s="42"/>
      <c r="Q849" s="42"/>
      <c r="R849" s="42"/>
      <c r="S849" s="42"/>
      <c r="T849" s="42"/>
      <c r="U849" s="42"/>
      <c r="V849" s="42"/>
      <c r="W849" s="44"/>
      <c r="X849" s="42"/>
      <c r="Y849" s="42"/>
      <c r="Z849" s="42"/>
      <c r="AA849" s="44"/>
      <c r="AB849" s="44"/>
      <c r="AC849" s="44"/>
      <c r="AD849" s="42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</row>
    <row r="850" spans="1:55" ht="1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26"/>
      <c r="M850" s="8"/>
      <c r="N850" s="8"/>
      <c r="O850" s="42"/>
      <c r="P850" s="42"/>
      <c r="Q850" s="42"/>
      <c r="R850" s="42"/>
      <c r="S850" s="42"/>
      <c r="T850" s="42"/>
      <c r="U850" s="42"/>
      <c r="V850" s="42"/>
      <c r="W850" s="44"/>
      <c r="X850" s="42"/>
      <c r="Y850" s="42"/>
      <c r="Z850" s="42"/>
      <c r="AA850" s="44"/>
      <c r="AB850" s="44"/>
      <c r="AC850" s="44"/>
      <c r="AD850" s="42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</row>
    <row r="851" spans="1:55" ht="1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26"/>
      <c r="M851" s="8"/>
      <c r="N851" s="8"/>
      <c r="O851" s="42"/>
      <c r="P851" s="42"/>
      <c r="Q851" s="42"/>
      <c r="R851" s="42"/>
      <c r="S851" s="42"/>
      <c r="T851" s="42"/>
      <c r="U851" s="42"/>
      <c r="V851" s="42"/>
      <c r="W851" s="44"/>
      <c r="X851" s="42"/>
      <c r="Y851" s="42"/>
      <c r="Z851" s="42"/>
      <c r="AA851" s="44"/>
      <c r="AB851" s="44"/>
      <c r="AC851" s="44"/>
      <c r="AD851" s="42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</row>
    <row r="852" spans="1:55" ht="1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26"/>
      <c r="M852" s="8"/>
      <c r="N852" s="8"/>
      <c r="O852" s="42"/>
      <c r="P852" s="42"/>
      <c r="Q852" s="42"/>
      <c r="R852" s="42"/>
      <c r="S852" s="42"/>
      <c r="T852" s="42"/>
      <c r="U852" s="42"/>
      <c r="V852" s="42"/>
      <c r="W852" s="44"/>
      <c r="X852" s="42"/>
      <c r="Y852" s="42"/>
      <c r="Z852" s="42"/>
      <c r="AA852" s="44"/>
      <c r="AB852" s="44"/>
      <c r="AC852" s="44"/>
      <c r="AD852" s="42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</row>
    <row r="853" spans="1:55" ht="1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26"/>
      <c r="M853" s="8"/>
      <c r="N853" s="8"/>
      <c r="O853" s="42"/>
      <c r="P853" s="42"/>
      <c r="Q853" s="42"/>
      <c r="R853" s="42"/>
      <c r="S853" s="42"/>
      <c r="T853" s="42"/>
      <c r="U853" s="42"/>
      <c r="V853" s="42"/>
      <c r="W853" s="44"/>
      <c r="X853" s="42"/>
      <c r="Y853" s="42"/>
      <c r="Z853" s="42"/>
      <c r="AA853" s="44"/>
      <c r="AB853" s="44"/>
      <c r="AC853" s="44"/>
      <c r="AD853" s="42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</row>
    <row r="854" spans="1:55" ht="1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26"/>
      <c r="M854" s="8"/>
      <c r="N854" s="8"/>
      <c r="O854" s="42"/>
      <c r="P854" s="42"/>
      <c r="Q854" s="42"/>
      <c r="R854" s="42"/>
      <c r="S854" s="42"/>
      <c r="T854" s="42"/>
      <c r="U854" s="42"/>
      <c r="V854" s="42"/>
      <c r="W854" s="44"/>
      <c r="X854" s="42"/>
      <c r="Y854" s="42"/>
      <c r="Z854" s="42"/>
      <c r="AA854" s="44"/>
      <c r="AB854" s="44"/>
      <c r="AC854" s="44"/>
      <c r="AD854" s="42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</row>
    <row r="855" spans="1:55" ht="1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26"/>
      <c r="M855" s="8"/>
      <c r="N855" s="8"/>
      <c r="O855" s="42"/>
      <c r="P855" s="42"/>
      <c r="Q855" s="42"/>
      <c r="R855" s="42"/>
      <c r="S855" s="42"/>
      <c r="T855" s="42"/>
      <c r="U855" s="42"/>
      <c r="V855" s="42"/>
      <c r="W855" s="44"/>
      <c r="X855" s="42"/>
      <c r="Y855" s="42"/>
      <c r="Z855" s="42"/>
      <c r="AA855" s="44"/>
      <c r="AB855" s="44"/>
      <c r="AC855" s="44"/>
      <c r="AD855" s="42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</row>
    <row r="856" spans="1:55" ht="1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26"/>
      <c r="M856" s="8"/>
      <c r="N856" s="8"/>
      <c r="O856" s="42"/>
      <c r="P856" s="42"/>
      <c r="Q856" s="42"/>
      <c r="R856" s="42"/>
      <c r="S856" s="42"/>
      <c r="T856" s="42"/>
      <c r="U856" s="42"/>
      <c r="V856" s="42"/>
      <c r="W856" s="44"/>
      <c r="X856" s="42"/>
      <c r="Y856" s="42"/>
      <c r="Z856" s="42"/>
      <c r="AA856" s="44"/>
      <c r="AB856" s="44"/>
      <c r="AC856" s="44"/>
      <c r="AD856" s="42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</row>
    <row r="857" spans="1:55" ht="1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26"/>
      <c r="M857" s="8"/>
      <c r="N857" s="8"/>
      <c r="O857" s="42"/>
      <c r="P857" s="42"/>
      <c r="Q857" s="42"/>
      <c r="R857" s="42"/>
      <c r="S857" s="42"/>
      <c r="T857" s="42"/>
      <c r="U857" s="42"/>
      <c r="V857" s="42"/>
      <c r="W857" s="44"/>
      <c r="X857" s="42"/>
      <c r="Y857" s="42"/>
      <c r="Z857" s="42"/>
      <c r="AA857" s="44"/>
      <c r="AB857" s="44"/>
      <c r="AC857" s="44"/>
      <c r="AD857" s="42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</row>
    <row r="858" spans="1:55" ht="1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26"/>
      <c r="M858" s="8"/>
      <c r="N858" s="8"/>
      <c r="O858" s="42"/>
      <c r="P858" s="42"/>
      <c r="Q858" s="42"/>
      <c r="R858" s="42"/>
      <c r="S858" s="42"/>
      <c r="T858" s="42"/>
      <c r="U858" s="42"/>
      <c r="V858" s="42"/>
      <c r="W858" s="44"/>
      <c r="X858" s="42"/>
      <c r="Y858" s="42"/>
      <c r="Z858" s="42"/>
      <c r="AA858" s="44"/>
      <c r="AB858" s="44"/>
      <c r="AC858" s="44"/>
      <c r="AD858" s="42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</row>
    <row r="859" spans="1:55" ht="1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26"/>
      <c r="M859" s="8"/>
      <c r="N859" s="8"/>
      <c r="O859" s="42"/>
      <c r="P859" s="42"/>
      <c r="Q859" s="42"/>
      <c r="R859" s="42"/>
      <c r="S859" s="42"/>
      <c r="T859" s="42"/>
      <c r="U859" s="42"/>
      <c r="V859" s="42"/>
      <c r="W859" s="44"/>
      <c r="X859" s="42"/>
      <c r="Y859" s="42"/>
      <c r="Z859" s="42"/>
      <c r="AA859" s="44"/>
      <c r="AB859" s="44"/>
      <c r="AC859" s="44"/>
      <c r="AD859" s="42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</row>
    <row r="860" spans="1:55" ht="1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26"/>
      <c r="M860" s="8"/>
      <c r="N860" s="8"/>
      <c r="O860" s="42"/>
      <c r="P860" s="42"/>
      <c r="Q860" s="42"/>
      <c r="R860" s="42"/>
      <c r="S860" s="42"/>
      <c r="T860" s="42"/>
      <c r="U860" s="42"/>
      <c r="V860" s="42"/>
      <c r="W860" s="44"/>
      <c r="X860" s="42"/>
      <c r="Y860" s="42"/>
      <c r="Z860" s="42"/>
      <c r="AA860" s="44"/>
      <c r="AB860" s="44"/>
      <c r="AC860" s="44"/>
      <c r="AD860" s="42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</row>
    <row r="861" spans="1:55" ht="1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26"/>
      <c r="M861" s="8"/>
      <c r="N861" s="8"/>
      <c r="O861" s="42"/>
      <c r="P861" s="42"/>
      <c r="Q861" s="42"/>
      <c r="R861" s="42"/>
      <c r="S861" s="42"/>
      <c r="T861" s="42"/>
      <c r="U861" s="42"/>
      <c r="V861" s="42"/>
      <c r="W861" s="44"/>
      <c r="X861" s="42"/>
      <c r="Y861" s="42"/>
      <c r="Z861" s="42"/>
      <c r="AA861" s="44"/>
      <c r="AB861" s="44"/>
      <c r="AC861" s="44"/>
      <c r="AD861" s="42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</row>
    <row r="862" spans="1:55" ht="1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26"/>
      <c r="M862" s="8"/>
      <c r="N862" s="8"/>
      <c r="O862" s="42"/>
      <c r="P862" s="42"/>
      <c r="Q862" s="42"/>
      <c r="R862" s="42"/>
      <c r="S862" s="42"/>
      <c r="T862" s="42"/>
      <c r="U862" s="42"/>
      <c r="V862" s="42"/>
      <c r="W862" s="44"/>
      <c r="X862" s="42"/>
      <c r="Y862" s="42"/>
      <c r="Z862" s="42"/>
      <c r="AA862" s="44"/>
      <c r="AB862" s="44"/>
      <c r="AC862" s="44"/>
      <c r="AD862" s="42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</row>
    <row r="863" spans="1:55" ht="1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26"/>
      <c r="M863" s="8"/>
      <c r="N863" s="8"/>
      <c r="O863" s="42"/>
      <c r="P863" s="42"/>
      <c r="Q863" s="42"/>
      <c r="R863" s="42"/>
      <c r="S863" s="42"/>
      <c r="T863" s="42"/>
      <c r="U863" s="42"/>
      <c r="V863" s="42"/>
      <c r="W863" s="44"/>
      <c r="X863" s="42"/>
      <c r="Y863" s="42"/>
      <c r="Z863" s="42"/>
      <c r="AA863" s="44"/>
      <c r="AB863" s="44"/>
      <c r="AC863" s="44"/>
      <c r="AD863" s="42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</row>
    <row r="864" spans="1:55" ht="1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26"/>
      <c r="M864" s="8"/>
      <c r="N864" s="8"/>
      <c r="O864" s="42"/>
      <c r="P864" s="42"/>
      <c r="Q864" s="42"/>
      <c r="R864" s="42"/>
      <c r="S864" s="42"/>
      <c r="T864" s="42"/>
      <c r="U864" s="42"/>
      <c r="V864" s="42"/>
      <c r="W864" s="44"/>
      <c r="X864" s="42"/>
      <c r="Y864" s="42"/>
      <c r="Z864" s="42"/>
      <c r="AA864" s="44"/>
      <c r="AB864" s="44"/>
      <c r="AC864" s="44"/>
      <c r="AD864" s="42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</row>
    <row r="865" spans="1:55" ht="1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26"/>
      <c r="M865" s="8"/>
      <c r="N865" s="8"/>
      <c r="O865" s="42"/>
      <c r="P865" s="42"/>
      <c r="Q865" s="42"/>
      <c r="R865" s="42"/>
      <c r="S865" s="42"/>
      <c r="T865" s="42"/>
      <c r="U865" s="42"/>
      <c r="V865" s="42"/>
      <c r="W865" s="44"/>
      <c r="X865" s="42"/>
      <c r="Y865" s="42"/>
      <c r="Z865" s="42"/>
      <c r="AA865" s="44"/>
      <c r="AB865" s="44"/>
      <c r="AC865" s="44"/>
      <c r="AD865" s="42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</row>
    <row r="866" spans="1:55" ht="1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26"/>
      <c r="M866" s="8"/>
      <c r="N866" s="8"/>
      <c r="O866" s="42"/>
      <c r="P866" s="42"/>
      <c r="Q866" s="42"/>
      <c r="R866" s="42"/>
      <c r="S866" s="42"/>
      <c r="T866" s="42"/>
      <c r="U866" s="42"/>
      <c r="V866" s="42"/>
      <c r="W866" s="44"/>
      <c r="X866" s="42"/>
      <c r="Y866" s="42"/>
      <c r="Z866" s="42"/>
      <c r="AA866" s="44"/>
      <c r="AB866" s="44"/>
      <c r="AC866" s="44"/>
      <c r="AD866" s="42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</row>
    <row r="867" spans="1:55" ht="1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26"/>
      <c r="M867" s="8"/>
      <c r="N867" s="8"/>
      <c r="O867" s="42"/>
      <c r="P867" s="42"/>
      <c r="Q867" s="42"/>
      <c r="R867" s="42"/>
      <c r="S867" s="42"/>
      <c r="T867" s="42"/>
      <c r="U867" s="42"/>
      <c r="V867" s="42"/>
      <c r="W867" s="44"/>
      <c r="X867" s="42"/>
      <c r="Y867" s="42"/>
      <c r="Z867" s="42"/>
      <c r="AA867" s="44"/>
      <c r="AB867" s="44"/>
      <c r="AC867" s="44"/>
      <c r="AD867" s="42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</row>
    <row r="868" spans="1:55" ht="1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26"/>
      <c r="M868" s="8"/>
      <c r="N868" s="8"/>
      <c r="O868" s="42"/>
      <c r="P868" s="42"/>
      <c r="Q868" s="42"/>
      <c r="R868" s="42"/>
      <c r="S868" s="42"/>
      <c r="T868" s="42"/>
      <c r="U868" s="42"/>
      <c r="V868" s="42"/>
      <c r="W868" s="44"/>
      <c r="X868" s="42"/>
      <c r="Y868" s="42"/>
      <c r="Z868" s="42"/>
      <c r="AA868" s="44"/>
      <c r="AB868" s="44"/>
      <c r="AC868" s="44"/>
      <c r="AD868" s="42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</row>
    <row r="869" spans="1:55" ht="1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26"/>
      <c r="M869" s="8"/>
      <c r="N869" s="8"/>
      <c r="O869" s="42"/>
      <c r="P869" s="42"/>
      <c r="Q869" s="42"/>
      <c r="R869" s="42"/>
      <c r="S869" s="42"/>
      <c r="T869" s="42"/>
      <c r="U869" s="42"/>
      <c r="V869" s="42"/>
      <c r="W869" s="44"/>
      <c r="X869" s="42"/>
      <c r="Y869" s="42"/>
      <c r="Z869" s="42"/>
      <c r="AA869" s="44"/>
      <c r="AB869" s="44"/>
      <c r="AC869" s="44"/>
      <c r="AD869" s="42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</row>
    <row r="870" spans="1:55" ht="1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26"/>
      <c r="M870" s="8"/>
      <c r="N870" s="8"/>
      <c r="O870" s="42"/>
      <c r="P870" s="42"/>
      <c r="Q870" s="42"/>
      <c r="R870" s="42"/>
      <c r="S870" s="42"/>
      <c r="T870" s="42"/>
      <c r="U870" s="42"/>
      <c r="V870" s="42"/>
      <c r="W870" s="44"/>
      <c r="X870" s="42"/>
      <c r="Y870" s="42"/>
      <c r="Z870" s="42"/>
      <c r="AA870" s="44"/>
      <c r="AB870" s="44"/>
      <c r="AC870" s="44"/>
      <c r="AD870" s="42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</row>
    <row r="871" spans="1:55" ht="1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26"/>
      <c r="M871" s="8"/>
      <c r="N871" s="8"/>
      <c r="O871" s="42"/>
      <c r="P871" s="42"/>
      <c r="Q871" s="42"/>
      <c r="R871" s="42"/>
      <c r="S871" s="42"/>
      <c r="T871" s="42"/>
      <c r="U871" s="42"/>
      <c r="V871" s="42"/>
      <c r="W871" s="44"/>
      <c r="X871" s="42"/>
      <c r="Y871" s="42"/>
      <c r="Z871" s="42"/>
      <c r="AA871" s="44"/>
      <c r="AB871" s="44"/>
      <c r="AC871" s="44"/>
      <c r="AD871" s="42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</row>
    <row r="872" spans="1:55" ht="1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26"/>
      <c r="M872" s="8"/>
      <c r="N872" s="8"/>
      <c r="O872" s="42"/>
      <c r="P872" s="42"/>
      <c r="Q872" s="42"/>
      <c r="R872" s="42"/>
      <c r="S872" s="42"/>
      <c r="T872" s="42"/>
      <c r="U872" s="42"/>
      <c r="V872" s="42"/>
      <c r="W872" s="44"/>
      <c r="X872" s="42"/>
      <c r="Y872" s="42"/>
      <c r="Z872" s="42"/>
      <c r="AA872" s="44"/>
      <c r="AB872" s="44"/>
      <c r="AC872" s="44"/>
      <c r="AD872" s="42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</row>
    <row r="873" spans="1:55" ht="1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26"/>
      <c r="M873" s="8"/>
      <c r="N873" s="8"/>
      <c r="O873" s="42"/>
      <c r="P873" s="42"/>
      <c r="Q873" s="42"/>
      <c r="R873" s="42"/>
      <c r="S873" s="42"/>
      <c r="T873" s="42"/>
      <c r="U873" s="42"/>
      <c r="V873" s="42"/>
      <c r="W873" s="44"/>
      <c r="X873" s="42"/>
      <c r="Y873" s="42"/>
      <c r="Z873" s="42"/>
      <c r="AA873" s="44"/>
      <c r="AB873" s="44"/>
      <c r="AC873" s="44"/>
      <c r="AD873" s="42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</row>
    <row r="874" spans="1:55" ht="1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26"/>
      <c r="M874" s="8"/>
      <c r="N874" s="8"/>
      <c r="O874" s="42"/>
      <c r="P874" s="42"/>
      <c r="Q874" s="42"/>
      <c r="R874" s="42"/>
      <c r="S874" s="42"/>
      <c r="T874" s="42"/>
      <c r="U874" s="42"/>
      <c r="V874" s="42"/>
      <c r="W874" s="44"/>
      <c r="X874" s="42"/>
      <c r="Y874" s="42"/>
      <c r="Z874" s="42"/>
      <c r="AA874" s="44"/>
      <c r="AB874" s="44"/>
      <c r="AC874" s="44"/>
      <c r="AD874" s="42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</row>
    <row r="875" spans="1:55" ht="1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26"/>
      <c r="M875" s="8"/>
      <c r="N875" s="8"/>
      <c r="O875" s="42"/>
      <c r="P875" s="42"/>
      <c r="Q875" s="42"/>
      <c r="R875" s="42"/>
      <c r="S875" s="42"/>
      <c r="T875" s="42"/>
      <c r="U875" s="42"/>
      <c r="V875" s="42"/>
      <c r="W875" s="44"/>
      <c r="X875" s="42"/>
      <c r="Y875" s="42"/>
      <c r="Z875" s="42"/>
      <c r="AA875" s="44"/>
      <c r="AB875" s="44"/>
      <c r="AC875" s="44"/>
      <c r="AD875" s="42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</row>
    <row r="876" spans="1:55" ht="1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26"/>
      <c r="M876" s="8"/>
      <c r="N876" s="8"/>
      <c r="O876" s="42"/>
      <c r="P876" s="42"/>
      <c r="Q876" s="42"/>
      <c r="R876" s="42"/>
      <c r="S876" s="42"/>
      <c r="T876" s="42"/>
      <c r="U876" s="42"/>
      <c r="V876" s="42"/>
      <c r="W876" s="44"/>
      <c r="X876" s="42"/>
      <c r="Y876" s="42"/>
      <c r="Z876" s="42"/>
      <c r="AA876" s="44"/>
      <c r="AB876" s="44"/>
      <c r="AC876" s="44"/>
      <c r="AD876" s="42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</row>
    <row r="877" spans="1:55" ht="1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26"/>
      <c r="M877" s="8"/>
      <c r="N877" s="8"/>
      <c r="O877" s="42"/>
      <c r="P877" s="42"/>
      <c r="Q877" s="42"/>
      <c r="R877" s="42"/>
      <c r="S877" s="42"/>
      <c r="T877" s="42"/>
      <c r="U877" s="42"/>
      <c r="V877" s="42"/>
      <c r="W877" s="44"/>
      <c r="X877" s="42"/>
      <c r="Y877" s="42"/>
      <c r="Z877" s="42"/>
      <c r="AA877" s="44"/>
      <c r="AB877" s="44"/>
      <c r="AC877" s="44"/>
      <c r="AD877" s="42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</row>
    <row r="878" spans="1:55" ht="1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26"/>
      <c r="M878" s="8"/>
      <c r="N878" s="8"/>
      <c r="O878" s="42"/>
      <c r="P878" s="42"/>
      <c r="Q878" s="42"/>
      <c r="R878" s="42"/>
      <c r="S878" s="42"/>
      <c r="T878" s="42"/>
      <c r="U878" s="42"/>
      <c r="V878" s="42"/>
      <c r="W878" s="44"/>
      <c r="X878" s="42"/>
      <c r="Y878" s="42"/>
      <c r="Z878" s="42"/>
      <c r="AA878" s="44"/>
      <c r="AB878" s="44"/>
      <c r="AC878" s="44"/>
      <c r="AD878" s="42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</row>
    <row r="879" spans="1:55" ht="1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26"/>
      <c r="M879" s="8"/>
      <c r="N879" s="8"/>
      <c r="O879" s="42"/>
      <c r="P879" s="42"/>
      <c r="Q879" s="42"/>
      <c r="R879" s="42"/>
      <c r="S879" s="42"/>
      <c r="T879" s="42"/>
      <c r="U879" s="42"/>
      <c r="V879" s="42"/>
      <c r="W879" s="44"/>
      <c r="X879" s="42"/>
      <c r="Y879" s="42"/>
      <c r="Z879" s="42"/>
      <c r="AA879" s="44"/>
      <c r="AB879" s="44"/>
      <c r="AC879" s="44"/>
      <c r="AD879" s="42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</row>
    <row r="880" spans="1:55" ht="1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26"/>
      <c r="M880" s="8"/>
      <c r="N880" s="8"/>
      <c r="O880" s="42"/>
      <c r="P880" s="42"/>
      <c r="Q880" s="42"/>
      <c r="R880" s="42"/>
      <c r="S880" s="42"/>
      <c r="T880" s="42"/>
      <c r="U880" s="42"/>
      <c r="V880" s="42"/>
      <c r="W880" s="44"/>
      <c r="X880" s="42"/>
      <c r="Y880" s="42"/>
      <c r="Z880" s="42"/>
      <c r="AA880" s="44"/>
      <c r="AB880" s="44"/>
      <c r="AC880" s="44"/>
      <c r="AD880" s="42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</row>
    <row r="881" spans="1:55" ht="1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26"/>
      <c r="M881" s="8"/>
      <c r="N881" s="8"/>
      <c r="O881" s="42"/>
      <c r="P881" s="42"/>
      <c r="Q881" s="42"/>
      <c r="R881" s="42"/>
      <c r="S881" s="42"/>
      <c r="T881" s="42"/>
      <c r="U881" s="42"/>
      <c r="V881" s="42"/>
      <c r="W881" s="44"/>
      <c r="X881" s="42"/>
      <c r="Y881" s="42"/>
      <c r="Z881" s="42"/>
      <c r="AA881" s="44"/>
      <c r="AB881" s="44"/>
      <c r="AC881" s="44"/>
      <c r="AD881" s="42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</row>
    <row r="882" spans="1:55" ht="1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26"/>
      <c r="M882" s="8"/>
      <c r="N882" s="8"/>
      <c r="O882" s="42"/>
      <c r="P882" s="42"/>
      <c r="Q882" s="42"/>
      <c r="R882" s="42"/>
      <c r="S882" s="42"/>
      <c r="T882" s="42"/>
      <c r="U882" s="42"/>
      <c r="V882" s="42"/>
      <c r="W882" s="44"/>
      <c r="X882" s="42"/>
      <c r="Y882" s="42"/>
      <c r="Z882" s="42"/>
      <c r="AA882" s="44"/>
      <c r="AB882" s="44"/>
      <c r="AC882" s="44"/>
      <c r="AD882" s="42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</row>
    <row r="883" spans="1:55" ht="1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26"/>
      <c r="M883" s="8"/>
      <c r="N883" s="8"/>
      <c r="O883" s="42"/>
      <c r="P883" s="42"/>
      <c r="Q883" s="42"/>
      <c r="R883" s="42"/>
      <c r="S883" s="42"/>
      <c r="T883" s="42"/>
      <c r="U883" s="42"/>
      <c r="V883" s="42"/>
      <c r="W883" s="44"/>
      <c r="X883" s="42"/>
      <c r="Y883" s="42"/>
      <c r="Z883" s="42"/>
      <c r="AA883" s="44"/>
      <c r="AB883" s="44"/>
      <c r="AC883" s="44"/>
      <c r="AD883" s="42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</row>
    <row r="884" spans="1:55" ht="1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26"/>
      <c r="M884" s="8"/>
      <c r="N884" s="8"/>
      <c r="O884" s="42"/>
      <c r="P884" s="42"/>
      <c r="Q884" s="42"/>
      <c r="R884" s="42"/>
      <c r="S884" s="42"/>
      <c r="T884" s="42"/>
      <c r="U884" s="42"/>
      <c r="V884" s="42"/>
      <c r="W884" s="44"/>
      <c r="X884" s="42"/>
      <c r="Y884" s="42"/>
      <c r="Z884" s="42"/>
      <c r="AA884" s="44"/>
      <c r="AB884" s="44"/>
      <c r="AC884" s="44"/>
      <c r="AD884" s="42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</row>
    <row r="885" spans="1:55" ht="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26"/>
      <c r="M885" s="8"/>
      <c r="N885" s="8"/>
      <c r="O885" s="42"/>
      <c r="P885" s="42"/>
      <c r="Q885" s="42"/>
      <c r="R885" s="42"/>
      <c r="S885" s="42"/>
      <c r="T885" s="42"/>
      <c r="U885" s="42"/>
      <c r="V885" s="42"/>
      <c r="W885" s="44"/>
      <c r="X885" s="42"/>
      <c r="Y885" s="42"/>
      <c r="Z885" s="42"/>
      <c r="AA885" s="44"/>
      <c r="AB885" s="44"/>
      <c r="AC885" s="44"/>
      <c r="AD885" s="42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</row>
    <row r="886" spans="1:55" ht="1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26"/>
      <c r="M886" s="8"/>
      <c r="N886" s="8"/>
      <c r="O886" s="42"/>
      <c r="P886" s="42"/>
      <c r="Q886" s="42"/>
      <c r="R886" s="42"/>
      <c r="S886" s="42"/>
      <c r="T886" s="42"/>
      <c r="U886" s="42"/>
      <c r="V886" s="42"/>
      <c r="W886" s="44"/>
      <c r="X886" s="42"/>
      <c r="Y886" s="42"/>
      <c r="Z886" s="42"/>
      <c r="AA886" s="44"/>
      <c r="AB886" s="44"/>
      <c r="AC886" s="44"/>
      <c r="AD886" s="42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</row>
    <row r="887" spans="1:55" ht="1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26"/>
      <c r="M887" s="8"/>
      <c r="N887" s="8"/>
      <c r="O887" s="42"/>
      <c r="P887" s="42"/>
      <c r="Q887" s="42"/>
      <c r="R887" s="42"/>
      <c r="S887" s="42"/>
      <c r="T887" s="42"/>
      <c r="U887" s="42"/>
      <c r="V887" s="42"/>
      <c r="W887" s="44"/>
      <c r="X887" s="42"/>
      <c r="Y887" s="42"/>
      <c r="Z887" s="42"/>
      <c r="AA887" s="44"/>
      <c r="AB887" s="44"/>
      <c r="AC887" s="44"/>
      <c r="AD887" s="42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</row>
    <row r="888" spans="1:55" ht="1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26"/>
      <c r="M888" s="8"/>
      <c r="N888" s="8"/>
      <c r="O888" s="42"/>
      <c r="P888" s="42"/>
      <c r="Q888" s="42"/>
      <c r="R888" s="42"/>
      <c r="S888" s="42"/>
      <c r="T888" s="42"/>
      <c r="U888" s="42"/>
      <c r="V888" s="42"/>
      <c r="W888" s="44"/>
      <c r="X888" s="42"/>
      <c r="Y888" s="42"/>
      <c r="Z888" s="42"/>
      <c r="AA888" s="44"/>
      <c r="AB888" s="44"/>
      <c r="AC888" s="44"/>
      <c r="AD888" s="42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</row>
    <row r="889" spans="1:55" ht="1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26"/>
      <c r="M889" s="8"/>
      <c r="N889" s="8"/>
      <c r="O889" s="42"/>
      <c r="P889" s="42"/>
      <c r="Q889" s="42"/>
      <c r="R889" s="42"/>
      <c r="S889" s="42"/>
      <c r="T889" s="42"/>
      <c r="U889" s="42"/>
      <c r="V889" s="42"/>
      <c r="W889" s="44"/>
      <c r="X889" s="42"/>
      <c r="Y889" s="42"/>
      <c r="Z889" s="42"/>
      <c r="AA889" s="44"/>
      <c r="AB889" s="44"/>
      <c r="AC889" s="44"/>
      <c r="AD889" s="42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</row>
    <row r="890" spans="1:55" ht="1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26"/>
      <c r="M890" s="8"/>
      <c r="N890" s="8"/>
      <c r="O890" s="42"/>
      <c r="P890" s="42"/>
      <c r="Q890" s="42"/>
      <c r="R890" s="42"/>
      <c r="S890" s="42"/>
      <c r="T890" s="42"/>
      <c r="U890" s="42"/>
      <c r="V890" s="42"/>
      <c r="W890" s="44"/>
      <c r="X890" s="42"/>
      <c r="Y890" s="42"/>
      <c r="Z890" s="42"/>
      <c r="AA890" s="44"/>
      <c r="AB890" s="44"/>
      <c r="AC890" s="44"/>
      <c r="AD890" s="42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</row>
    <row r="891" spans="1:55" ht="1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26"/>
      <c r="M891" s="8"/>
      <c r="N891" s="8"/>
      <c r="O891" s="42"/>
      <c r="P891" s="42"/>
      <c r="Q891" s="42"/>
      <c r="R891" s="42"/>
      <c r="S891" s="42"/>
      <c r="T891" s="42"/>
      <c r="U891" s="42"/>
      <c r="V891" s="42"/>
      <c r="W891" s="44"/>
      <c r="X891" s="42"/>
      <c r="Y891" s="42"/>
      <c r="Z891" s="42"/>
      <c r="AA891" s="44"/>
      <c r="AB891" s="44"/>
      <c r="AC891" s="44"/>
      <c r="AD891" s="42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</row>
    <row r="892" spans="1:55" ht="1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26"/>
      <c r="M892" s="8"/>
      <c r="N892" s="8"/>
      <c r="O892" s="42"/>
      <c r="P892" s="42"/>
      <c r="Q892" s="42"/>
      <c r="R892" s="42"/>
      <c r="S892" s="42"/>
      <c r="T892" s="42"/>
      <c r="U892" s="42"/>
      <c r="V892" s="42"/>
      <c r="W892" s="44"/>
      <c r="X892" s="42"/>
      <c r="Y892" s="42"/>
      <c r="Z892" s="42"/>
      <c r="AA892" s="44"/>
      <c r="AB892" s="44"/>
      <c r="AC892" s="44"/>
      <c r="AD892" s="42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</row>
    <row r="893" spans="1:55" ht="1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26"/>
      <c r="M893" s="8"/>
      <c r="N893" s="8"/>
      <c r="O893" s="42"/>
      <c r="P893" s="42"/>
      <c r="Q893" s="42"/>
      <c r="R893" s="42"/>
      <c r="S893" s="42"/>
      <c r="T893" s="42"/>
      <c r="U893" s="42"/>
      <c r="V893" s="42"/>
      <c r="W893" s="44"/>
      <c r="X893" s="42"/>
      <c r="Y893" s="42"/>
      <c r="Z893" s="42"/>
      <c r="AA893" s="44"/>
      <c r="AB893" s="44"/>
      <c r="AC893" s="44"/>
      <c r="AD893" s="42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</row>
    <row r="894" spans="1:55" ht="1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26"/>
      <c r="M894" s="8"/>
      <c r="N894" s="8"/>
      <c r="O894" s="42"/>
      <c r="P894" s="42"/>
      <c r="Q894" s="42"/>
      <c r="R894" s="42"/>
      <c r="S894" s="42"/>
      <c r="T894" s="42"/>
      <c r="U894" s="42"/>
      <c r="V894" s="42"/>
      <c r="W894" s="44"/>
      <c r="X894" s="42"/>
      <c r="Y894" s="42"/>
      <c r="Z894" s="42"/>
      <c r="AA894" s="44"/>
      <c r="AB894" s="44"/>
      <c r="AC894" s="44"/>
      <c r="AD894" s="42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</row>
    <row r="895" spans="1:55" ht="1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26"/>
      <c r="M895" s="8"/>
      <c r="N895" s="8"/>
      <c r="O895" s="42"/>
      <c r="P895" s="42"/>
      <c r="Q895" s="42"/>
      <c r="R895" s="42"/>
      <c r="S895" s="42"/>
      <c r="T895" s="42"/>
      <c r="U895" s="42"/>
      <c r="V895" s="42"/>
      <c r="W895" s="44"/>
      <c r="X895" s="42"/>
      <c r="Y895" s="42"/>
      <c r="Z895" s="42"/>
      <c r="AA895" s="44"/>
      <c r="AB895" s="44"/>
      <c r="AC895" s="44"/>
      <c r="AD895" s="42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</row>
    <row r="896" spans="1:55" ht="1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26"/>
      <c r="M896" s="8"/>
      <c r="N896" s="8"/>
      <c r="O896" s="42"/>
      <c r="P896" s="42"/>
      <c r="Q896" s="42"/>
      <c r="R896" s="42"/>
      <c r="S896" s="42"/>
      <c r="T896" s="42"/>
      <c r="U896" s="42"/>
      <c r="V896" s="42"/>
      <c r="W896" s="44"/>
      <c r="X896" s="42"/>
      <c r="Y896" s="42"/>
      <c r="Z896" s="42"/>
      <c r="AA896" s="44"/>
      <c r="AB896" s="44"/>
      <c r="AC896" s="44"/>
      <c r="AD896" s="42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</row>
    <row r="897" spans="1:55" ht="1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26"/>
      <c r="M897" s="8"/>
      <c r="N897" s="8"/>
      <c r="O897" s="42"/>
      <c r="P897" s="42"/>
      <c r="Q897" s="42"/>
      <c r="R897" s="42"/>
      <c r="S897" s="42"/>
      <c r="T897" s="42"/>
      <c r="U897" s="42"/>
      <c r="V897" s="42"/>
      <c r="W897" s="44"/>
      <c r="X897" s="42"/>
      <c r="Y897" s="42"/>
      <c r="Z897" s="42"/>
      <c r="AA897" s="44"/>
      <c r="AB897" s="44"/>
      <c r="AC897" s="44"/>
      <c r="AD897" s="42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</row>
    <row r="898" spans="1:55" ht="1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26"/>
      <c r="M898" s="8"/>
      <c r="N898" s="8"/>
      <c r="O898" s="42"/>
      <c r="P898" s="42"/>
      <c r="Q898" s="42"/>
      <c r="R898" s="42"/>
      <c r="S898" s="42"/>
      <c r="T898" s="42"/>
      <c r="U898" s="42"/>
      <c r="V898" s="42"/>
      <c r="W898" s="44"/>
      <c r="X898" s="42"/>
      <c r="Y898" s="42"/>
      <c r="Z898" s="42"/>
      <c r="AA898" s="44"/>
      <c r="AB898" s="44"/>
      <c r="AC898" s="44"/>
      <c r="AD898" s="42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</row>
    <row r="899" spans="1:55" ht="1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26"/>
      <c r="M899" s="8"/>
      <c r="N899" s="8"/>
      <c r="O899" s="42"/>
      <c r="P899" s="42"/>
      <c r="Q899" s="42"/>
      <c r="R899" s="42"/>
      <c r="S899" s="42"/>
      <c r="T899" s="42"/>
      <c r="U899" s="42"/>
      <c r="V899" s="42"/>
      <c r="W899" s="44"/>
      <c r="X899" s="42"/>
      <c r="Y899" s="42"/>
      <c r="Z899" s="42"/>
      <c r="AA899" s="44"/>
      <c r="AB899" s="44"/>
      <c r="AC899" s="44"/>
      <c r="AD899" s="42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</row>
    <row r="900" spans="1:55" ht="1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26"/>
      <c r="M900" s="8"/>
      <c r="N900" s="8"/>
      <c r="O900" s="42"/>
      <c r="P900" s="42"/>
      <c r="Q900" s="42"/>
      <c r="R900" s="42"/>
      <c r="S900" s="42"/>
      <c r="T900" s="42"/>
      <c r="U900" s="42"/>
      <c r="V900" s="42"/>
      <c r="W900" s="44"/>
      <c r="X900" s="42"/>
      <c r="Y900" s="42"/>
      <c r="Z900" s="42"/>
      <c r="AA900" s="44"/>
      <c r="AB900" s="44"/>
      <c r="AC900" s="44"/>
      <c r="AD900" s="42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</row>
    <row r="901" spans="1:55" ht="1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26"/>
      <c r="M901" s="8"/>
      <c r="N901" s="8"/>
      <c r="O901" s="42"/>
      <c r="P901" s="42"/>
      <c r="Q901" s="42"/>
      <c r="R901" s="42"/>
      <c r="S901" s="42"/>
      <c r="T901" s="42"/>
      <c r="U901" s="42"/>
      <c r="V901" s="42"/>
      <c r="W901" s="44"/>
      <c r="X901" s="42"/>
      <c r="Y901" s="42"/>
      <c r="Z901" s="42"/>
      <c r="AA901" s="44"/>
      <c r="AB901" s="44"/>
      <c r="AC901" s="44"/>
      <c r="AD901" s="42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</row>
    <row r="902" spans="1:55" ht="1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26"/>
      <c r="M902" s="8"/>
      <c r="N902" s="8"/>
      <c r="O902" s="42"/>
      <c r="P902" s="42"/>
      <c r="Q902" s="42"/>
      <c r="R902" s="42"/>
      <c r="S902" s="42"/>
      <c r="T902" s="42"/>
      <c r="U902" s="42"/>
      <c r="V902" s="42"/>
      <c r="W902" s="44"/>
      <c r="X902" s="42"/>
      <c r="Y902" s="42"/>
      <c r="Z902" s="42"/>
      <c r="AA902" s="44"/>
      <c r="AB902" s="44"/>
      <c r="AC902" s="44"/>
      <c r="AD902" s="42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</row>
    <row r="903" spans="1:55" ht="1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26"/>
      <c r="M903" s="8"/>
      <c r="N903" s="8"/>
      <c r="O903" s="42"/>
      <c r="P903" s="42"/>
      <c r="Q903" s="42"/>
      <c r="R903" s="42"/>
      <c r="S903" s="42"/>
      <c r="T903" s="42"/>
      <c r="U903" s="42"/>
      <c r="V903" s="42"/>
      <c r="W903" s="44"/>
      <c r="X903" s="42"/>
      <c r="Y903" s="42"/>
      <c r="Z903" s="42"/>
      <c r="AA903" s="44"/>
      <c r="AB903" s="44"/>
      <c r="AC903" s="44"/>
      <c r="AD903" s="42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</row>
    <row r="904" spans="1:55" ht="1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26"/>
      <c r="M904" s="8"/>
      <c r="N904" s="8"/>
      <c r="O904" s="42"/>
      <c r="P904" s="42"/>
      <c r="Q904" s="42"/>
      <c r="R904" s="42"/>
      <c r="S904" s="42"/>
      <c r="T904" s="42"/>
      <c r="U904" s="42"/>
      <c r="V904" s="42"/>
      <c r="W904" s="44"/>
      <c r="X904" s="42"/>
      <c r="Y904" s="42"/>
      <c r="Z904" s="42"/>
      <c r="AA904" s="44"/>
      <c r="AB904" s="44"/>
      <c r="AC904" s="44"/>
      <c r="AD904" s="42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</row>
    <row r="905" spans="1:55" ht="1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26"/>
      <c r="M905" s="8"/>
      <c r="N905" s="8"/>
      <c r="O905" s="42"/>
      <c r="P905" s="42"/>
      <c r="Q905" s="42"/>
      <c r="R905" s="42"/>
      <c r="S905" s="42"/>
      <c r="T905" s="42"/>
      <c r="U905" s="42"/>
      <c r="V905" s="42"/>
      <c r="W905" s="44"/>
      <c r="X905" s="42"/>
      <c r="Y905" s="42"/>
      <c r="Z905" s="42"/>
      <c r="AA905" s="44"/>
      <c r="AB905" s="44"/>
      <c r="AC905" s="44"/>
      <c r="AD905" s="42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</row>
    <row r="906" spans="1:55" ht="1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26"/>
      <c r="M906" s="8"/>
      <c r="N906" s="8"/>
      <c r="O906" s="42"/>
      <c r="P906" s="42"/>
      <c r="Q906" s="42"/>
      <c r="R906" s="42"/>
      <c r="S906" s="42"/>
      <c r="T906" s="42"/>
      <c r="U906" s="42"/>
      <c r="V906" s="42"/>
      <c r="W906" s="44"/>
      <c r="X906" s="42"/>
      <c r="Y906" s="42"/>
      <c r="Z906" s="42"/>
      <c r="AA906" s="44"/>
      <c r="AB906" s="44"/>
      <c r="AC906" s="44"/>
      <c r="AD906" s="42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</row>
    <row r="907" spans="1:55" ht="1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26"/>
      <c r="M907" s="8"/>
      <c r="N907" s="8"/>
      <c r="O907" s="42"/>
      <c r="P907" s="42"/>
      <c r="Q907" s="42"/>
      <c r="R907" s="42"/>
      <c r="S907" s="42"/>
      <c r="T907" s="42"/>
      <c r="U907" s="42"/>
      <c r="V907" s="42"/>
      <c r="W907" s="44"/>
      <c r="X907" s="42"/>
      <c r="Y907" s="42"/>
      <c r="Z907" s="42"/>
      <c r="AA907" s="44"/>
      <c r="AB907" s="44"/>
      <c r="AC907" s="44"/>
      <c r="AD907" s="42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</row>
    <row r="908" spans="1:55" ht="1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26"/>
      <c r="M908" s="8"/>
      <c r="N908" s="8"/>
      <c r="O908" s="42"/>
      <c r="P908" s="42"/>
      <c r="Q908" s="42"/>
      <c r="R908" s="42"/>
      <c r="S908" s="42"/>
      <c r="T908" s="42"/>
      <c r="U908" s="42"/>
      <c r="V908" s="42"/>
      <c r="W908" s="44"/>
      <c r="X908" s="42"/>
      <c r="Y908" s="42"/>
      <c r="Z908" s="42"/>
      <c r="AA908" s="44"/>
      <c r="AB908" s="44"/>
      <c r="AC908" s="44"/>
      <c r="AD908" s="42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</row>
    <row r="909" spans="1:55" ht="1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26"/>
      <c r="M909" s="8"/>
      <c r="N909" s="8"/>
      <c r="O909" s="42"/>
      <c r="P909" s="42"/>
      <c r="Q909" s="42"/>
      <c r="R909" s="42"/>
      <c r="S909" s="42"/>
      <c r="T909" s="42"/>
      <c r="U909" s="42"/>
      <c r="V909" s="42"/>
      <c r="W909" s="44"/>
      <c r="X909" s="42"/>
      <c r="Y909" s="42"/>
      <c r="Z909" s="42"/>
      <c r="AA909" s="44"/>
      <c r="AB909" s="44"/>
      <c r="AC909" s="44"/>
      <c r="AD909" s="42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</row>
    <row r="910" spans="1:55" ht="1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26"/>
      <c r="M910" s="8"/>
      <c r="N910" s="8"/>
      <c r="O910" s="42"/>
      <c r="P910" s="42"/>
      <c r="Q910" s="42"/>
      <c r="R910" s="42"/>
      <c r="S910" s="42"/>
      <c r="T910" s="42"/>
      <c r="U910" s="42"/>
      <c r="V910" s="42"/>
      <c r="W910" s="44"/>
      <c r="X910" s="42"/>
      <c r="Y910" s="42"/>
      <c r="Z910" s="42"/>
      <c r="AA910" s="44"/>
      <c r="AB910" s="44"/>
      <c r="AC910" s="44"/>
      <c r="AD910" s="42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</row>
    <row r="911" spans="1:55" ht="1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26"/>
      <c r="M911" s="8"/>
      <c r="N911" s="8"/>
      <c r="O911" s="42"/>
      <c r="P911" s="42"/>
      <c r="Q911" s="42"/>
      <c r="R911" s="42"/>
      <c r="S911" s="42"/>
      <c r="T911" s="42"/>
      <c r="U911" s="42"/>
      <c r="V911" s="42"/>
      <c r="W911" s="44"/>
      <c r="X911" s="42"/>
      <c r="Y911" s="42"/>
      <c r="Z911" s="42"/>
      <c r="AA911" s="44"/>
      <c r="AB911" s="44"/>
      <c r="AC911" s="44"/>
      <c r="AD911" s="42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</row>
    <row r="912" spans="1:55" ht="1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26"/>
      <c r="M912" s="8"/>
      <c r="N912" s="8"/>
      <c r="O912" s="42"/>
      <c r="P912" s="42"/>
      <c r="Q912" s="42"/>
      <c r="R912" s="42"/>
      <c r="S912" s="42"/>
      <c r="T912" s="42"/>
      <c r="U912" s="42"/>
      <c r="V912" s="42"/>
      <c r="W912" s="44"/>
      <c r="X912" s="42"/>
      <c r="Y912" s="42"/>
      <c r="Z912" s="42"/>
      <c r="AA912" s="44"/>
      <c r="AB912" s="44"/>
      <c r="AC912" s="44"/>
      <c r="AD912" s="42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</row>
    <row r="913" spans="1:55" ht="1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26"/>
      <c r="M913" s="8"/>
      <c r="N913" s="8"/>
      <c r="O913" s="42"/>
      <c r="P913" s="42"/>
      <c r="Q913" s="42"/>
      <c r="R913" s="42"/>
      <c r="S913" s="42"/>
      <c r="T913" s="42"/>
      <c r="U913" s="42"/>
      <c r="V913" s="42"/>
      <c r="W913" s="44"/>
      <c r="X913" s="42"/>
      <c r="Y913" s="42"/>
      <c r="Z913" s="42"/>
      <c r="AA913" s="44"/>
      <c r="AB913" s="44"/>
      <c r="AC913" s="44"/>
      <c r="AD913" s="42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</row>
    <row r="914" spans="1:55" ht="1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26"/>
      <c r="M914" s="8"/>
      <c r="N914" s="8"/>
      <c r="O914" s="42"/>
      <c r="P914" s="42"/>
      <c r="Q914" s="42"/>
      <c r="R914" s="42"/>
      <c r="S914" s="42"/>
      <c r="T914" s="42"/>
      <c r="U914" s="42"/>
      <c r="V914" s="42"/>
      <c r="W914" s="44"/>
      <c r="X914" s="42"/>
      <c r="Y914" s="42"/>
      <c r="Z914" s="42"/>
      <c r="AA914" s="44"/>
      <c r="AB914" s="44"/>
      <c r="AC914" s="44"/>
      <c r="AD914" s="42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</row>
    <row r="915" spans="1:55" ht="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26"/>
      <c r="M915" s="8"/>
      <c r="N915" s="8"/>
      <c r="O915" s="42"/>
      <c r="P915" s="42"/>
      <c r="Q915" s="42"/>
      <c r="R915" s="42"/>
      <c r="S915" s="42"/>
      <c r="T915" s="42"/>
      <c r="U915" s="42"/>
      <c r="V915" s="42"/>
      <c r="W915" s="44"/>
      <c r="X915" s="42"/>
      <c r="Y915" s="42"/>
      <c r="Z915" s="42"/>
      <c r="AA915" s="44"/>
      <c r="AB915" s="44"/>
      <c r="AC915" s="44"/>
      <c r="AD915" s="42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</row>
    <row r="916" spans="1:55" ht="1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26"/>
      <c r="M916" s="8"/>
      <c r="N916" s="8"/>
      <c r="O916" s="42"/>
      <c r="P916" s="42"/>
      <c r="Q916" s="42"/>
      <c r="R916" s="42"/>
      <c r="S916" s="42"/>
      <c r="T916" s="42"/>
      <c r="U916" s="42"/>
      <c r="V916" s="42"/>
      <c r="W916" s="44"/>
      <c r="X916" s="42"/>
      <c r="Y916" s="42"/>
      <c r="Z916" s="42"/>
      <c r="AA916" s="44"/>
      <c r="AB916" s="44"/>
      <c r="AC916" s="44"/>
      <c r="AD916" s="42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</row>
    <row r="917" spans="1:55" ht="1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26"/>
      <c r="M917" s="8"/>
      <c r="N917" s="8"/>
      <c r="O917" s="42"/>
      <c r="P917" s="42"/>
      <c r="Q917" s="42"/>
      <c r="R917" s="42"/>
      <c r="S917" s="42"/>
      <c r="T917" s="42"/>
      <c r="U917" s="42"/>
      <c r="V917" s="42"/>
      <c r="W917" s="44"/>
      <c r="X917" s="42"/>
      <c r="Y917" s="42"/>
      <c r="Z917" s="42"/>
      <c r="AA917" s="44"/>
      <c r="AB917" s="44"/>
      <c r="AC917" s="44"/>
      <c r="AD917" s="42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</row>
    <row r="918" spans="1:55" ht="1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26"/>
      <c r="M918" s="8"/>
      <c r="N918" s="8"/>
      <c r="O918" s="42"/>
      <c r="P918" s="42"/>
      <c r="Q918" s="42"/>
      <c r="R918" s="42"/>
      <c r="S918" s="42"/>
      <c r="T918" s="42"/>
      <c r="U918" s="42"/>
      <c r="V918" s="42"/>
      <c r="W918" s="44"/>
      <c r="X918" s="42"/>
      <c r="Y918" s="42"/>
      <c r="Z918" s="42"/>
      <c r="AA918" s="44"/>
      <c r="AB918" s="44"/>
      <c r="AC918" s="44"/>
      <c r="AD918" s="42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</row>
    <row r="919" spans="1:55" ht="1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26"/>
      <c r="M919" s="8"/>
      <c r="N919" s="8"/>
      <c r="O919" s="42"/>
      <c r="P919" s="42"/>
      <c r="Q919" s="42"/>
      <c r="R919" s="42"/>
      <c r="S919" s="42"/>
      <c r="T919" s="42"/>
      <c r="U919" s="42"/>
      <c r="V919" s="42"/>
      <c r="W919" s="44"/>
      <c r="X919" s="42"/>
      <c r="Y919" s="42"/>
      <c r="Z919" s="42"/>
      <c r="AA919" s="44"/>
      <c r="AB919" s="44"/>
      <c r="AC919" s="44"/>
      <c r="AD919" s="42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</row>
    <row r="920" spans="1:55" ht="1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26"/>
      <c r="M920" s="8"/>
      <c r="N920" s="8"/>
      <c r="O920" s="42"/>
      <c r="P920" s="42"/>
      <c r="Q920" s="42"/>
      <c r="R920" s="42"/>
      <c r="S920" s="42"/>
      <c r="T920" s="42"/>
      <c r="U920" s="42"/>
      <c r="V920" s="42"/>
      <c r="W920" s="44"/>
      <c r="X920" s="42"/>
      <c r="Y920" s="42"/>
      <c r="Z920" s="42"/>
      <c r="AA920" s="44"/>
      <c r="AB920" s="44"/>
      <c r="AC920" s="44"/>
      <c r="AD920" s="42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</row>
    <row r="921" spans="1:55" ht="1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26"/>
      <c r="M921" s="8"/>
      <c r="N921" s="8"/>
      <c r="O921" s="42"/>
      <c r="P921" s="42"/>
      <c r="Q921" s="42"/>
      <c r="R921" s="42"/>
      <c r="S921" s="42"/>
      <c r="T921" s="42"/>
      <c r="U921" s="42"/>
      <c r="V921" s="42"/>
      <c r="W921" s="44"/>
      <c r="X921" s="42"/>
      <c r="Y921" s="42"/>
      <c r="Z921" s="42"/>
      <c r="AA921" s="44"/>
      <c r="AB921" s="44"/>
      <c r="AC921" s="44"/>
      <c r="AD921" s="42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</row>
    <row r="922" spans="1:55" ht="1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26"/>
      <c r="M922" s="8"/>
      <c r="N922" s="8"/>
      <c r="O922" s="42"/>
      <c r="P922" s="42"/>
      <c r="Q922" s="42"/>
      <c r="R922" s="42"/>
      <c r="S922" s="42"/>
      <c r="T922" s="42"/>
      <c r="U922" s="42"/>
      <c r="V922" s="42"/>
      <c r="W922" s="44"/>
      <c r="X922" s="42"/>
      <c r="Y922" s="42"/>
      <c r="Z922" s="42"/>
      <c r="AA922" s="44"/>
      <c r="AB922" s="44"/>
      <c r="AC922" s="44"/>
      <c r="AD922" s="42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</row>
    <row r="923" spans="1:55" ht="1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26"/>
      <c r="M923" s="8"/>
      <c r="N923" s="8"/>
      <c r="O923" s="42"/>
      <c r="P923" s="42"/>
      <c r="Q923" s="42"/>
      <c r="R923" s="42"/>
      <c r="S923" s="42"/>
      <c r="T923" s="42"/>
      <c r="U923" s="42"/>
      <c r="V923" s="42"/>
      <c r="W923" s="44"/>
      <c r="X923" s="42"/>
      <c r="Y923" s="42"/>
      <c r="Z923" s="42"/>
      <c r="AA923" s="44"/>
      <c r="AB923" s="44"/>
      <c r="AC923" s="44"/>
      <c r="AD923" s="42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</row>
    <row r="924" spans="1:55" ht="1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26"/>
      <c r="M924" s="8"/>
      <c r="N924" s="8"/>
      <c r="O924" s="42"/>
      <c r="P924" s="42"/>
      <c r="Q924" s="42"/>
      <c r="R924" s="42"/>
      <c r="S924" s="42"/>
      <c r="T924" s="42"/>
      <c r="U924" s="42"/>
      <c r="V924" s="42"/>
      <c r="W924" s="44"/>
      <c r="X924" s="42"/>
      <c r="Y924" s="42"/>
      <c r="Z924" s="42"/>
      <c r="AA924" s="44"/>
      <c r="AB924" s="44"/>
      <c r="AC924" s="44"/>
      <c r="AD924" s="42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</row>
    <row r="925" spans="1:55" ht="1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26"/>
      <c r="M925" s="8"/>
      <c r="N925" s="8"/>
      <c r="O925" s="42"/>
      <c r="P925" s="42"/>
      <c r="Q925" s="42"/>
      <c r="R925" s="42"/>
      <c r="S925" s="42"/>
      <c r="T925" s="42"/>
      <c r="U925" s="42"/>
      <c r="V925" s="42"/>
      <c r="W925" s="44"/>
      <c r="X925" s="42"/>
      <c r="Y925" s="42"/>
      <c r="Z925" s="42"/>
      <c r="AA925" s="44"/>
      <c r="AB925" s="44"/>
      <c r="AC925" s="44"/>
      <c r="AD925" s="42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</row>
    <row r="926" spans="1:55" ht="1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26"/>
      <c r="M926" s="8"/>
      <c r="N926" s="8"/>
      <c r="O926" s="42"/>
      <c r="P926" s="42"/>
      <c r="Q926" s="42"/>
      <c r="R926" s="42"/>
      <c r="S926" s="42"/>
      <c r="T926" s="42"/>
      <c r="U926" s="42"/>
      <c r="V926" s="42"/>
      <c r="W926" s="44"/>
      <c r="X926" s="42"/>
      <c r="Y926" s="42"/>
      <c r="Z926" s="42"/>
      <c r="AA926" s="44"/>
      <c r="AB926" s="44"/>
      <c r="AC926" s="44"/>
      <c r="AD926" s="42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</row>
    <row r="927" spans="1:55" ht="1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26"/>
      <c r="M927" s="8"/>
      <c r="N927" s="8"/>
      <c r="O927" s="42"/>
      <c r="P927" s="42"/>
      <c r="Q927" s="42"/>
      <c r="R927" s="42"/>
      <c r="S927" s="42"/>
      <c r="T927" s="42"/>
      <c r="U927" s="42"/>
      <c r="V927" s="42"/>
      <c r="W927" s="44"/>
      <c r="X927" s="42"/>
      <c r="Y927" s="42"/>
      <c r="Z927" s="42"/>
      <c r="AA927" s="44"/>
      <c r="AB927" s="44"/>
      <c r="AC927" s="44"/>
      <c r="AD927" s="42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</row>
    <row r="928" spans="1:55" ht="1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26"/>
      <c r="M928" s="8"/>
      <c r="N928" s="8"/>
      <c r="O928" s="42"/>
      <c r="P928" s="42"/>
      <c r="Q928" s="42"/>
      <c r="R928" s="42"/>
      <c r="S928" s="42"/>
      <c r="T928" s="42"/>
      <c r="U928" s="42"/>
      <c r="V928" s="42"/>
      <c r="W928" s="44"/>
      <c r="X928" s="42"/>
      <c r="Y928" s="42"/>
      <c r="Z928" s="42"/>
      <c r="AA928" s="44"/>
      <c r="AB928" s="44"/>
      <c r="AC928" s="44"/>
      <c r="AD928" s="42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</row>
    <row r="929" spans="1:55" ht="1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26"/>
      <c r="M929" s="8"/>
      <c r="N929" s="8"/>
      <c r="O929" s="42"/>
      <c r="P929" s="42"/>
      <c r="Q929" s="42"/>
      <c r="R929" s="42"/>
      <c r="S929" s="42"/>
      <c r="T929" s="42"/>
      <c r="U929" s="42"/>
      <c r="V929" s="42"/>
      <c r="W929" s="44"/>
      <c r="X929" s="42"/>
      <c r="Y929" s="42"/>
      <c r="Z929" s="42"/>
      <c r="AA929" s="44"/>
      <c r="AB929" s="44"/>
      <c r="AC929" s="44"/>
      <c r="AD929" s="42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</row>
    <row r="930" spans="1:55" ht="1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26"/>
      <c r="M930" s="8"/>
      <c r="N930" s="8"/>
      <c r="O930" s="42"/>
      <c r="P930" s="42"/>
      <c r="Q930" s="42"/>
      <c r="R930" s="42"/>
      <c r="S930" s="42"/>
      <c r="T930" s="42"/>
      <c r="U930" s="42"/>
      <c r="V930" s="42"/>
      <c r="W930" s="44"/>
      <c r="X930" s="42"/>
      <c r="Y930" s="42"/>
      <c r="Z930" s="42"/>
      <c r="AA930" s="44"/>
      <c r="AB930" s="44"/>
      <c r="AC930" s="44"/>
      <c r="AD930" s="42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</row>
    <row r="931" spans="1:55" ht="1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26"/>
      <c r="M931" s="8"/>
      <c r="N931" s="8"/>
      <c r="O931" s="42"/>
      <c r="P931" s="42"/>
      <c r="Q931" s="42"/>
      <c r="R931" s="42"/>
      <c r="S931" s="42"/>
      <c r="T931" s="42"/>
      <c r="U931" s="42"/>
      <c r="V931" s="42"/>
      <c r="W931" s="44"/>
      <c r="X931" s="42"/>
      <c r="Y931" s="42"/>
      <c r="Z931" s="42"/>
      <c r="AA931" s="44"/>
      <c r="AB931" s="44"/>
      <c r="AC931" s="44"/>
      <c r="AD931" s="42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</row>
    <row r="932" spans="1:55" ht="1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26"/>
      <c r="M932" s="8"/>
      <c r="N932" s="8"/>
      <c r="O932" s="42"/>
      <c r="P932" s="42"/>
      <c r="Q932" s="42"/>
      <c r="R932" s="42"/>
      <c r="S932" s="42"/>
      <c r="T932" s="42"/>
      <c r="U932" s="42"/>
      <c r="V932" s="42"/>
      <c r="W932" s="44"/>
      <c r="X932" s="42"/>
      <c r="Y932" s="42"/>
      <c r="Z932" s="42"/>
      <c r="AA932" s="44"/>
      <c r="AB932" s="44"/>
      <c r="AC932" s="44"/>
      <c r="AD932" s="42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</row>
    <row r="933" spans="1:55" ht="1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26"/>
      <c r="M933" s="8"/>
      <c r="N933" s="8"/>
      <c r="O933" s="42"/>
      <c r="P933" s="42"/>
      <c r="Q933" s="42"/>
      <c r="R933" s="42"/>
      <c r="S933" s="42"/>
      <c r="T933" s="42"/>
      <c r="U933" s="42"/>
      <c r="V933" s="42"/>
      <c r="W933" s="44"/>
      <c r="X933" s="42"/>
      <c r="Y933" s="42"/>
      <c r="Z933" s="42"/>
      <c r="AA933" s="44"/>
      <c r="AB933" s="44"/>
      <c r="AC933" s="44"/>
      <c r="AD933" s="42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</row>
    <row r="934" spans="1:55" ht="1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26"/>
      <c r="M934" s="8"/>
      <c r="N934" s="8"/>
      <c r="O934" s="42"/>
      <c r="P934" s="42"/>
      <c r="Q934" s="42"/>
      <c r="R934" s="42"/>
      <c r="S934" s="42"/>
      <c r="T934" s="42"/>
      <c r="U934" s="42"/>
      <c r="V934" s="42"/>
      <c r="W934" s="44"/>
      <c r="X934" s="42"/>
      <c r="Y934" s="42"/>
      <c r="Z934" s="42"/>
      <c r="AA934" s="44"/>
      <c r="AB934" s="44"/>
      <c r="AC934" s="44"/>
      <c r="AD934" s="42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</row>
    <row r="935" spans="1:55" ht="1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26"/>
      <c r="M935" s="8"/>
      <c r="N935" s="8"/>
      <c r="O935" s="42"/>
      <c r="P935" s="42"/>
      <c r="Q935" s="42"/>
      <c r="R935" s="42"/>
      <c r="S935" s="42"/>
      <c r="T935" s="42"/>
      <c r="U935" s="42"/>
      <c r="V935" s="42"/>
      <c r="W935" s="44"/>
      <c r="X935" s="42"/>
      <c r="Y935" s="42"/>
      <c r="Z935" s="42"/>
      <c r="AA935" s="44"/>
      <c r="AB935" s="44"/>
      <c r="AC935" s="44"/>
      <c r="AD935" s="42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</row>
    <row r="936" spans="1:55" ht="1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26"/>
      <c r="M936" s="8"/>
      <c r="N936" s="8"/>
      <c r="O936" s="42"/>
      <c r="P936" s="42"/>
      <c r="Q936" s="42"/>
      <c r="R936" s="42"/>
      <c r="S936" s="42"/>
      <c r="T936" s="42"/>
      <c r="U936" s="42"/>
      <c r="V936" s="42"/>
      <c r="W936" s="44"/>
      <c r="X936" s="42"/>
      <c r="Y936" s="42"/>
      <c r="Z936" s="42"/>
      <c r="AA936" s="44"/>
      <c r="AB936" s="44"/>
      <c r="AC936" s="44"/>
      <c r="AD936" s="42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</row>
    <row r="937" spans="1:55" ht="1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26"/>
      <c r="M937" s="8"/>
      <c r="N937" s="8"/>
      <c r="O937" s="42"/>
      <c r="P937" s="42"/>
      <c r="Q937" s="42"/>
      <c r="R937" s="42"/>
      <c r="S937" s="42"/>
      <c r="T937" s="42"/>
      <c r="U937" s="42"/>
      <c r="V937" s="42"/>
      <c r="W937" s="44"/>
      <c r="X937" s="42"/>
      <c r="Y937" s="42"/>
      <c r="Z937" s="42"/>
      <c r="AA937" s="44"/>
      <c r="AB937" s="44"/>
      <c r="AC937" s="44"/>
      <c r="AD937" s="42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</row>
    <row r="938" spans="1:55" ht="1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26"/>
      <c r="M938" s="8"/>
      <c r="N938" s="8"/>
      <c r="O938" s="42"/>
      <c r="P938" s="42"/>
      <c r="Q938" s="42"/>
      <c r="R938" s="42"/>
      <c r="S938" s="42"/>
      <c r="T938" s="42"/>
      <c r="U938" s="42"/>
      <c r="V938" s="42"/>
      <c r="W938" s="44"/>
      <c r="X938" s="42"/>
      <c r="Y938" s="42"/>
      <c r="Z938" s="42"/>
      <c r="AA938" s="44"/>
      <c r="AB938" s="44"/>
      <c r="AC938" s="44"/>
      <c r="AD938" s="42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</row>
    <row r="939" spans="1:55" ht="1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26"/>
      <c r="M939" s="8"/>
      <c r="N939" s="8"/>
      <c r="O939" s="42"/>
      <c r="P939" s="42"/>
      <c r="Q939" s="42"/>
      <c r="R939" s="42"/>
      <c r="S939" s="42"/>
      <c r="T939" s="42"/>
      <c r="U939" s="42"/>
      <c r="V939" s="42"/>
      <c r="W939" s="44"/>
      <c r="X939" s="42"/>
      <c r="Y939" s="42"/>
      <c r="Z939" s="42"/>
      <c r="AA939" s="44"/>
      <c r="AB939" s="44"/>
      <c r="AC939" s="44"/>
      <c r="AD939" s="42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</row>
    <row r="940" spans="1:55" ht="1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26"/>
      <c r="M940" s="8"/>
      <c r="N940" s="8"/>
      <c r="O940" s="42"/>
      <c r="P940" s="42"/>
      <c r="Q940" s="42"/>
      <c r="R940" s="42"/>
      <c r="S940" s="42"/>
      <c r="T940" s="42"/>
      <c r="U940" s="42"/>
      <c r="V940" s="42"/>
      <c r="W940" s="44"/>
      <c r="X940" s="42"/>
      <c r="Y940" s="42"/>
      <c r="Z940" s="42"/>
      <c r="AA940" s="44"/>
      <c r="AB940" s="44"/>
      <c r="AC940" s="44"/>
      <c r="AD940" s="42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</row>
    <row r="941" spans="1:55" ht="1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26"/>
      <c r="M941" s="8"/>
      <c r="N941" s="8"/>
      <c r="O941" s="42"/>
      <c r="P941" s="42"/>
      <c r="Q941" s="42"/>
      <c r="R941" s="42"/>
      <c r="S941" s="42"/>
      <c r="T941" s="42"/>
      <c r="U941" s="42"/>
      <c r="V941" s="42"/>
      <c r="W941" s="44"/>
      <c r="X941" s="42"/>
      <c r="Y941" s="42"/>
      <c r="Z941" s="42"/>
      <c r="AA941" s="44"/>
      <c r="AB941" s="44"/>
      <c r="AC941" s="44"/>
      <c r="AD941" s="42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</row>
    <row r="942" spans="1:55" ht="1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26"/>
      <c r="M942" s="8"/>
      <c r="N942" s="8"/>
      <c r="O942" s="42"/>
      <c r="P942" s="42"/>
      <c r="Q942" s="42"/>
      <c r="R942" s="42"/>
      <c r="S942" s="42"/>
      <c r="T942" s="42"/>
      <c r="U942" s="42"/>
      <c r="V942" s="42"/>
      <c r="W942" s="44"/>
      <c r="X942" s="42"/>
      <c r="Y942" s="42"/>
      <c r="Z942" s="42"/>
      <c r="AA942" s="44"/>
      <c r="AB942" s="44"/>
      <c r="AC942" s="44"/>
      <c r="AD942" s="42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</row>
    <row r="943" spans="1:55" ht="1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26"/>
      <c r="M943" s="8"/>
      <c r="N943" s="8"/>
      <c r="O943" s="42"/>
      <c r="P943" s="42"/>
      <c r="Q943" s="42"/>
      <c r="R943" s="42"/>
      <c r="S943" s="42"/>
      <c r="T943" s="42"/>
      <c r="U943" s="42"/>
      <c r="V943" s="42"/>
      <c r="W943" s="44"/>
      <c r="X943" s="42"/>
      <c r="Y943" s="42"/>
      <c r="Z943" s="42"/>
      <c r="AA943" s="44"/>
      <c r="AB943" s="44"/>
      <c r="AC943" s="44"/>
      <c r="AD943" s="42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</row>
    <row r="944" spans="1:55" ht="1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26"/>
      <c r="M944" s="8"/>
      <c r="N944" s="8"/>
      <c r="O944" s="42"/>
      <c r="P944" s="42"/>
      <c r="Q944" s="42"/>
      <c r="R944" s="42"/>
      <c r="S944" s="42"/>
      <c r="T944" s="42"/>
      <c r="U944" s="42"/>
      <c r="V944" s="42"/>
      <c r="W944" s="44"/>
      <c r="X944" s="42"/>
      <c r="Y944" s="42"/>
      <c r="Z944" s="42"/>
      <c r="AA944" s="44"/>
      <c r="AB944" s="44"/>
      <c r="AC944" s="44"/>
      <c r="AD944" s="42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</row>
    <row r="945" spans="1:55" ht="1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26"/>
      <c r="M945" s="8"/>
      <c r="N945" s="8"/>
      <c r="O945" s="42"/>
      <c r="P945" s="42"/>
      <c r="Q945" s="42"/>
      <c r="R945" s="42"/>
      <c r="S945" s="42"/>
      <c r="T945" s="42"/>
      <c r="U945" s="42"/>
      <c r="V945" s="42"/>
      <c r="W945" s="44"/>
      <c r="X945" s="42"/>
      <c r="Y945" s="42"/>
      <c r="Z945" s="42"/>
      <c r="AA945" s="44"/>
      <c r="AB945" s="44"/>
      <c r="AC945" s="44"/>
      <c r="AD945" s="42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</row>
    <row r="946" spans="1:55" ht="1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26"/>
      <c r="M946" s="8"/>
      <c r="N946" s="8"/>
      <c r="O946" s="42"/>
      <c r="P946" s="42"/>
      <c r="Q946" s="42"/>
      <c r="R946" s="42"/>
      <c r="S946" s="42"/>
      <c r="T946" s="42"/>
      <c r="U946" s="42"/>
      <c r="V946" s="42"/>
      <c r="W946" s="44"/>
      <c r="X946" s="42"/>
      <c r="Y946" s="42"/>
      <c r="Z946" s="42"/>
      <c r="AA946" s="44"/>
      <c r="AB946" s="44"/>
      <c r="AC946" s="44"/>
      <c r="AD946" s="42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</row>
    <row r="947" spans="1:55" ht="1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26"/>
      <c r="M947" s="8"/>
      <c r="N947" s="8"/>
      <c r="O947" s="42"/>
      <c r="P947" s="42"/>
      <c r="Q947" s="42"/>
      <c r="R947" s="42"/>
      <c r="S947" s="42"/>
      <c r="T947" s="42"/>
      <c r="U947" s="42"/>
      <c r="V947" s="42"/>
      <c r="W947" s="44"/>
      <c r="X947" s="42"/>
      <c r="Y947" s="42"/>
      <c r="Z947" s="42"/>
      <c r="AA947" s="44"/>
      <c r="AB947" s="44"/>
      <c r="AC947" s="44"/>
      <c r="AD947" s="42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</row>
    <row r="948" spans="1:55" ht="1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26"/>
      <c r="M948" s="8"/>
      <c r="N948" s="8"/>
      <c r="O948" s="42"/>
      <c r="P948" s="42"/>
      <c r="Q948" s="42"/>
      <c r="R948" s="42"/>
      <c r="S948" s="42"/>
      <c r="T948" s="42"/>
      <c r="U948" s="42"/>
      <c r="V948" s="42"/>
      <c r="W948" s="44"/>
      <c r="X948" s="42"/>
      <c r="Y948" s="42"/>
      <c r="Z948" s="42"/>
      <c r="AA948" s="44"/>
      <c r="AB948" s="44"/>
      <c r="AC948" s="44"/>
      <c r="AD948" s="42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</row>
    <row r="949" spans="1:55" ht="1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26"/>
      <c r="M949" s="8"/>
      <c r="N949" s="8"/>
      <c r="O949" s="42"/>
      <c r="P949" s="42"/>
      <c r="Q949" s="42"/>
      <c r="R949" s="42"/>
      <c r="S949" s="42"/>
      <c r="T949" s="42"/>
      <c r="U949" s="42"/>
      <c r="V949" s="42"/>
      <c r="W949" s="44"/>
      <c r="X949" s="42"/>
      <c r="Y949" s="42"/>
      <c r="Z949" s="42"/>
      <c r="AA949" s="44"/>
      <c r="AB949" s="44"/>
      <c r="AC949" s="44"/>
      <c r="AD949" s="42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</row>
    <row r="950" spans="1:55" ht="1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26"/>
      <c r="M950" s="8"/>
      <c r="N950" s="8"/>
      <c r="O950" s="42"/>
      <c r="P950" s="42"/>
      <c r="Q950" s="42"/>
      <c r="R950" s="42"/>
      <c r="S950" s="42"/>
      <c r="T950" s="42"/>
      <c r="U950" s="42"/>
      <c r="V950" s="42"/>
      <c r="W950" s="44"/>
      <c r="X950" s="42"/>
      <c r="Y950" s="42"/>
      <c r="Z950" s="42"/>
      <c r="AA950" s="44"/>
      <c r="AB950" s="44"/>
      <c r="AC950" s="44"/>
      <c r="AD950" s="42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</row>
    <row r="951" spans="1:55" ht="1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26"/>
      <c r="M951" s="8"/>
      <c r="N951" s="8"/>
      <c r="O951" s="42"/>
      <c r="P951" s="42"/>
      <c r="Q951" s="42"/>
      <c r="R951" s="42"/>
      <c r="S951" s="42"/>
      <c r="T951" s="42"/>
      <c r="U951" s="42"/>
      <c r="V951" s="42"/>
      <c r="W951" s="44"/>
      <c r="X951" s="42"/>
      <c r="Y951" s="42"/>
      <c r="Z951" s="42"/>
      <c r="AA951" s="44"/>
      <c r="AB951" s="44"/>
      <c r="AC951" s="44"/>
      <c r="AD951" s="42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</row>
    <row r="952" spans="1:55" ht="1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26"/>
      <c r="M952" s="8"/>
      <c r="N952" s="8"/>
      <c r="O952" s="42"/>
      <c r="P952" s="42"/>
      <c r="Q952" s="42"/>
      <c r="R952" s="42"/>
      <c r="S952" s="42"/>
      <c r="T952" s="42"/>
      <c r="U952" s="42"/>
      <c r="V952" s="42"/>
      <c r="W952" s="44"/>
      <c r="X952" s="42"/>
      <c r="Y952" s="42"/>
      <c r="Z952" s="42"/>
      <c r="AA952" s="44"/>
      <c r="AB952" s="44"/>
      <c r="AC952" s="44"/>
      <c r="AD952" s="42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</row>
    <row r="953" spans="1:55" ht="1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26"/>
      <c r="M953" s="8"/>
      <c r="N953" s="8"/>
      <c r="O953" s="42"/>
      <c r="P953" s="42"/>
      <c r="Q953" s="42"/>
      <c r="R953" s="42"/>
      <c r="S953" s="42"/>
      <c r="T953" s="42"/>
      <c r="U953" s="42"/>
      <c r="V953" s="42"/>
      <c r="W953" s="44"/>
      <c r="X953" s="42"/>
      <c r="Y953" s="42"/>
      <c r="Z953" s="42"/>
      <c r="AA953" s="44"/>
      <c r="AB953" s="44"/>
      <c r="AC953" s="44"/>
      <c r="AD953" s="42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</row>
    <row r="954" spans="1:55" ht="1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26"/>
      <c r="M954" s="8"/>
      <c r="N954" s="8"/>
      <c r="O954" s="42"/>
      <c r="P954" s="42"/>
      <c r="Q954" s="42"/>
      <c r="R954" s="42"/>
      <c r="S954" s="42"/>
      <c r="T954" s="42"/>
      <c r="U954" s="42"/>
      <c r="V954" s="42"/>
      <c r="W954" s="44"/>
      <c r="X954" s="42"/>
      <c r="Y954" s="42"/>
      <c r="Z954" s="42"/>
      <c r="AA954" s="44"/>
      <c r="AB954" s="44"/>
      <c r="AC954" s="44"/>
      <c r="AD954" s="42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</row>
    <row r="955" spans="1:55" ht="1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26"/>
      <c r="M955" s="8"/>
      <c r="N955" s="8"/>
      <c r="O955" s="42"/>
      <c r="P955" s="42"/>
      <c r="Q955" s="42"/>
      <c r="R955" s="42"/>
      <c r="S955" s="42"/>
      <c r="T955" s="42"/>
      <c r="U955" s="42"/>
      <c r="V955" s="42"/>
      <c r="W955" s="44"/>
      <c r="X955" s="42"/>
      <c r="Y955" s="42"/>
      <c r="Z955" s="42"/>
      <c r="AA955" s="44"/>
      <c r="AB955" s="44"/>
      <c r="AC955" s="44"/>
      <c r="AD955" s="42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</row>
    <row r="956" spans="1:55" ht="1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26"/>
      <c r="M956" s="8"/>
      <c r="N956" s="8"/>
      <c r="O956" s="42"/>
      <c r="P956" s="42"/>
      <c r="Q956" s="42"/>
      <c r="R956" s="42"/>
      <c r="S956" s="42"/>
      <c r="T956" s="42"/>
      <c r="U956" s="42"/>
      <c r="V956" s="42"/>
      <c r="W956" s="44"/>
      <c r="X956" s="42"/>
      <c r="Y956" s="42"/>
      <c r="Z956" s="42"/>
      <c r="AA956" s="44"/>
      <c r="AB956" s="44"/>
      <c r="AC956" s="44"/>
      <c r="AD956" s="42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</row>
    <row r="957" spans="1:55" ht="1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26"/>
      <c r="M957" s="8"/>
      <c r="N957" s="8"/>
      <c r="O957" s="42"/>
      <c r="P957" s="42"/>
      <c r="Q957" s="42"/>
      <c r="R957" s="42"/>
      <c r="S957" s="42"/>
      <c r="T957" s="42"/>
      <c r="U957" s="42"/>
      <c r="V957" s="42"/>
      <c r="W957" s="44"/>
      <c r="X957" s="42"/>
      <c r="Y957" s="42"/>
      <c r="Z957" s="42"/>
      <c r="AA957" s="44"/>
      <c r="AB957" s="44"/>
      <c r="AC957" s="44"/>
      <c r="AD957" s="42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</row>
    <row r="958" spans="1:55" ht="1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26"/>
      <c r="M958" s="8"/>
      <c r="N958" s="8"/>
      <c r="O958" s="42"/>
      <c r="P958" s="42"/>
      <c r="Q958" s="42"/>
      <c r="R958" s="42"/>
      <c r="S958" s="42"/>
      <c r="T958" s="42"/>
      <c r="U958" s="42"/>
      <c r="V958" s="42"/>
      <c r="W958" s="44"/>
      <c r="X958" s="42"/>
      <c r="Y958" s="42"/>
      <c r="Z958" s="42"/>
      <c r="AA958" s="44"/>
      <c r="AB958" s="44"/>
      <c r="AC958" s="44"/>
      <c r="AD958" s="42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</row>
    <row r="959" spans="1:55" ht="1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26"/>
      <c r="M959" s="8"/>
      <c r="N959" s="8"/>
      <c r="O959" s="42"/>
      <c r="P959" s="42"/>
      <c r="Q959" s="42"/>
      <c r="R959" s="42"/>
      <c r="S959" s="42"/>
      <c r="T959" s="42"/>
      <c r="U959" s="42"/>
      <c r="V959" s="42"/>
      <c r="W959" s="44"/>
      <c r="X959" s="42"/>
      <c r="Y959" s="42"/>
      <c r="Z959" s="42"/>
      <c r="AA959" s="44"/>
      <c r="AB959" s="44"/>
      <c r="AC959" s="44"/>
      <c r="AD959" s="42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</row>
    <row r="960" spans="1:55" ht="1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26"/>
      <c r="M960" s="8"/>
      <c r="N960" s="8"/>
      <c r="O960" s="42"/>
      <c r="P960" s="42"/>
      <c r="Q960" s="42"/>
      <c r="R960" s="42"/>
      <c r="S960" s="42"/>
      <c r="T960" s="42"/>
      <c r="U960" s="42"/>
      <c r="V960" s="42"/>
      <c r="W960" s="44"/>
      <c r="X960" s="42"/>
      <c r="Y960" s="42"/>
      <c r="Z960" s="42"/>
      <c r="AA960" s="44"/>
      <c r="AB960" s="44"/>
      <c r="AC960" s="44"/>
      <c r="AD960" s="42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</row>
    <row r="961" spans="1:55" ht="1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26"/>
      <c r="M961" s="8"/>
      <c r="N961" s="8"/>
      <c r="O961" s="42"/>
      <c r="P961" s="42"/>
      <c r="Q961" s="42"/>
      <c r="R961" s="42"/>
      <c r="S961" s="42"/>
      <c r="T961" s="42"/>
      <c r="U961" s="42"/>
      <c r="V961" s="42"/>
      <c r="W961" s="44"/>
      <c r="X961" s="42"/>
      <c r="Y961" s="42"/>
      <c r="Z961" s="42"/>
      <c r="AA961" s="44"/>
      <c r="AB961" s="44"/>
      <c r="AC961" s="44"/>
      <c r="AD961" s="42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</row>
    <row r="962" spans="1:55" ht="1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26"/>
      <c r="M962" s="8"/>
      <c r="N962" s="8"/>
      <c r="O962" s="42"/>
      <c r="P962" s="42"/>
      <c r="Q962" s="42"/>
      <c r="R962" s="42"/>
      <c r="S962" s="42"/>
      <c r="T962" s="42"/>
      <c r="U962" s="42"/>
      <c r="V962" s="42"/>
      <c r="W962" s="44"/>
      <c r="X962" s="42"/>
      <c r="Y962" s="42"/>
      <c r="Z962" s="42"/>
      <c r="AA962" s="44"/>
      <c r="AB962" s="44"/>
      <c r="AC962" s="44"/>
      <c r="AD962" s="42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</row>
    <row r="963" spans="1:55" ht="1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26"/>
      <c r="M963" s="8"/>
      <c r="N963" s="8"/>
      <c r="O963" s="42"/>
      <c r="P963" s="42"/>
      <c r="Q963" s="42"/>
      <c r="R963" s="42"/>
      <c r="S963" s="42"/>
      <c r="T963" s="42"/>
      <c r="U963" s="42"/>
      <c r="V963" s="42"/>
      <c r="W963" s="44"/>
      <c r="X963" s="42"/>
      <c r="Y963" s="42"/>
      <c r="Z963" s="42"/>
      <c r="AA963" s="44"/>
      <c r="AB963" s="44"/>
      <c r="AC963" s="44"/>
      <c r="AD963" s="42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</row>
    <row r="964" spans="1:55" ht="1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26"/>
      <c r="M964" s="8"/>
      <c r="N964" s="8"/>
      <c r="O964" s="42"/>
      <c r="P964" s="42"/>
      <c r="Q964" s="42"/>
      <c r="R964" s="42"/>
      <c r="S964" s="42"/>
      <c r="T964" s="42"/>
      <c r="U964" s="42"/>
      <c r="V964" s="42"/>
      <c r="W964" s="44"/>
      <c r="X964" s="42"/>
      <c r="Y964" s="42"/>
      <c r="Z964" s="42"/>
      <c r="AA964" s="44"/>
      <c r="AB964" s="44"/>
      <c r="AC964" s="44"/>
      <c r="AD964" s="42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</row>
    <row r="965" spans="1:55" ht="1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26"/>
      <c r="M965" s="8"/>
      <c r="N965" s="8"/>
      <c r="O965" s="42"/>
      <c r="P965" s="42"/>
      <c r="Q965" s="42"/>
      <c r="R965" s="42"/>
      <c r="S965" s="42"/>
      <c r="T965" s="42"/>
      <c r="U965" s="42"/>
      <c r="V965" s="42"/>
      <c r="W965" s="44"/>
      <c r="X965" s="42"/>
      <c r="Y965" s="42"/>
      <c r="Z965" s="42"/>
      <c r="AA965" s="44"/>
      <c r="AB965" s="44"/>
      <c r="AC965" s="44"/>
      <c r="AD965" s="42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</row>
    <row r="966" spans="1:55" ht="1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26"/>
      <c r="M966" s="8"/>
      <c r="N966" s="8"/>
      <c r="O966" s="42"/>
      <c r="P966" s="42"/>
      <c r="Q966" s="42"/>
      <c r="R966" s="42"/>
      <c r="S966" s="42"/>
      <c r="T966" s="42"/>
      <c r="U966" s="42"/>
      <c r="V966" s="42"/>
      <c r="W966" s="44"/>
      <c r="X966" s="42"/>
      <c r="Y966" s="42"/>
      <c r="Z966" s="42"/>
      <c r="AA966" s="44"/>
      <c r="AB966" s="44"/>
      <c r="AC966" s="44"/>
      <c r="AD966" s="42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</row>
    <row r="967" spans="1:55" ht="1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26"/>
      <c r="M967" s="8"/>
      <c r="N967" s="8"/>
      <c r="O967" s="42"/>
      <c r="P967" s="42"/>
      <c r="Q967" s="42"/>
      <c r="R967" s="42"/>
      <c r="S967" s="42"/>
      <c r="T967" s="42"/>
      <c r="U967" s="42"/>
      <c r="V967" s="42"/>
      <c r="W967" s="44"/>
      <c r="X967" s="42"/>
      <c r="Y967" s="42"/>
      <c r="Z967" s="42"/>
      <c r="AA967" s="44"/>
      <c r="AB967" s="44"/>
      <c r="AC967" s="44"/>
      <c r="AD967" s="42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</row>
    <row r="968" spans="1:55" ht="1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26"/>
      <c r="M968" s="8"/>
      <c r="N968" s="8"/>
      <c r="O968" s="42"/>
      <c r="P968" s="42"/>
      <c r="Q968" s="42"/>
      <c r="R968" s="42"/>
      <c r="S968" s="42"/>
      <c r="T968" s="42"/>
      <c r="U968" s="42"/>
      <c r="V968" s="42"/>
      <c r="W968" s="44"/>
      <c r="X968" s="42"/>
      <c r="Y968" s="42"/>
      <c r="Z968" s="42"/>
      <c r="AA968" s="44"/>
      <c r="AB968" s="44"/>
      <c r="AC968" s="44"/>
      <c r="AD968" s="42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</row>
    <row r="969" spans="1:55" ht="1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26"/>
      <c r="M969" s="8"/>
      <c r="N969" s="8"/>
      <c r="O969" s="42"/>
      <c r="P969" s="42"/>
      <c r="Q969" s="42"/>
      <c r="R969" s="42"/>
      <c r="S969" s="42"/>
      <c r="T969" s="42"/>
      <c r="U969" s="42"/>
      <c r="V969" s="42"/>
      <c r="W969" s="44"/>
      <c r="X969" s="42"/>
      <c r="Y969" s="42"/>
      <c r="Z969" s="42"/>
      <c r="AA969" s="44"/>
      <c r="AB969" s="44"/>
      <c r="AC969" s="44"/>
      <c r="AD969" s="42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</row>
    <row r="970" spans="1:55" ht="1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26"/>
      <c r="M970" s="8"/>
      <c r="N970" s="8"/>
      <c r="O970" s="42"/>
      <c r="P970" s="42"/>
      <c r="Q970" s="42"/>
      <c r="R970" s="42"/>
      <c r="S970" s="42"/>
      <c r="T970" s="42"/>
      <c r="U970" s="42"/>
      <c r="V970" s="42"/>
      <c r="W970" s="44"/>
      <c r="X970" s="42"/>
      <c r="Y970" s="42"/>
      <c r="Z970" s="42"/>
      <c r="AA970" s="44"/>
      <c r="AB970" s="44"/>
      <c r="AC970" s="44"/>
      <c r="AD970" s="42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</row>
    <row r="971" spans="1:55" ht="1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26"/>
      <c r="M971" s="8"/>
      <c r="N971" s="8"/>
      <c r="O971" s="42"/>
      <c r="P971" s="42"/>
      <c r="Q971" s="42"/>
      <c r="R971" s="42"/>
      <c r="S971" s="42"/>
      <c r="T971" s="42"/>
      <c r="U971" s="42"/>
      <c r="V971" s="42"/>
      <c r="W971" s="44"/>
      <c r="X971" s="42"/>
      <c r="Y971" s="42"/>
      <c r="Z971" s="42"/>
      <c r="AA971" s="44"/>
      <c r="AB971" s="44"/>
      <c r="AC971" s="44"/>
      <c r="AD971" s="42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</row>
    <row r="972" spans="1:55" ht="1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26"/>
      <c r="M972" s="8"/>
      <c r="N972" s="8"/>
      <c r="O972" s="42"/>
      <c r="P972" s="42"/>
      <c r="Q972" s="42"/>
      <c r="R972" s="42"/>
      <c r="S972" s="42"/>
      <c r="T972" s="42"/>
      <c r="U972" s="42"/>
      <c r="V972" s="42"/>
      <c r="W972" s="44"/>
      <c r="X972" s="42"/>
      <c r="Y972" s="42"/>
      <c r="Z972" s="42"/>
      <c r="AA972" s="44"/>
      <c r="AB972" s="44"/>
      <c r="AC972" s="44"/>
      <c r="AD972" s="42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</row>
    <row r="973" spans="1:55" ht="1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26"/>
      <c r="M973" s="8"/>
      <c r="N973" s="8"/>
      <c r="O973" s="42"/>
      <c r="P973" s="42"/>
      <c r="Q973" s="42"/>
      <c r="R973" s="42"/>
      <c r="S973" s="42"/>
      <c r="T973" s="42"/>
      <c r="U973" s="42"/>
      <c r="V973" s="42"/>
      <c r="W973" s="44"/>
      <c r="X973" s="42"/>
      <c r="Y973" s="42"/>
      <c r="Z973" s="42"/>
      <c r="AA973" s="44"/>
      <c r="AB973" s="44"/>
      <c r="AC973" s="44"/>
      <c r="AD973" s="42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</row>
    <row r="974" spans="1:55" ht="1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26"/>
      <c r="M974" s="8"/>
      <c r="N974" s="8"/>
      <c r="O974" s="42"/>
      <c r="P974" s="42"/>
      <c r="Q974" s="42"/>
      <c r="R974" s="42"/>
      <c r="S974" s="42"/>
      <c r="T974" s="42"/>
      <c r="U974" s="42"/>
      <c r="V974" s="42"/>
      <c r="W974" s="44"/>
      <c r="X974" s="42"/>
      <c r="Y974" s="42"/>
      <c r="Z974" s="42"/>
      <c r="AA974" s="44"/>
      <c r="AB974" s="44"/>
      <c r="AC974" s="44"/>
      <c r="AD974" s="42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</row>
    <row r="975" spans="1:55" ht="1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26"/>
      <c r="M975" s="8"/>
      <c r="N975" s="8"/>
      <c r="O975" s="42"/>
      <c r="P975" s="42"/>
      <c r="Q975" s="42"/>
      <c r="R975" s="42"/>
      <c r="S975" s="42"/>
      <c r="T975" s="42"/>
      <c r="U975" s="42"/>
      <c r="V975" s="42"/>
      <c r="W975" s="44"/>
      <c r="X975" s="42"/>
      <c r="Y975" s="42"/>
      <c r="Z975" s="42"/>
      <c r="AA975" s="44"/>
      <c r="AB975" s="44"/>
      <c r="AC975" s="44"/>
      <c r="AD975" s="42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</row>
    <row r="976" spans="1:55" ht="1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26"/>
      <c r="M976" s="8"/>
      <c r="N976" s="8"/>
      <c r="O976" s="42"/>
      <c r="P976" s="42"/>
      <c r="Q976" s="42"/>
      <c r="R976" s="42"/>
      <c r="S976" s="42"/>
      <c r="T976" s="42"/>
      <c r="U976" s="42"/>
      <c r="V976" s="42"/>
      <c r="W976" s="44"/>
      <c r="X976" s="42"/>
      <c r="Y976" s="42"/>
      <c r="Z976" s="42"/>
      <c r="AA976" s="44"/>
      <c r="AB976" s="44"/>
      <c r="AC976" s="44"/>
      <c r="AD976" s="42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</row>
    <row r="977" spans="1:55" ht="1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26"/>
      <c r="M977" s="8"/>
      <c r="N977" s="8"/>
      <c r="O977" s="42"/>
      <c r="P977" s="42"/>
      <c r="Q977" s="42"/>
      <c r="R977" s="42"/>
      <c r="S977" s="42"/>
      <c r="T977" s="42"/>
      <c r="U977" s="42"/>
      <c r="V977" s="42"/>
      <c r="W977" s="44"/>
      <c r="X977" s="42"/>
      <c r="Y977" s="42"/>
      <c r="Z977" s="42"/>
      <c r="AA977" s="44"/>
      <c r="AB977" s="44"/>
      <c r="AC977" s="44"/>
      <c r="AD977" s="42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</row>
    <row r="978" spans="1:55" ht="1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26"/>
      <c r="M978" s="8"/>
      <c r="N978" s="8"/>
      <c r="O978" s="42"/>
      <c r="P978" s="42"/>
      <c r="Q978" s="42"/>
      <c r="R978" s="42"/>
      <c r="S978" s="42"/>
      <c r="T978" s="42"/>
      <c r="U978" s="42"/>
      <c r="V978" s="42"/>
      <c r="W978" s="44"/>
      <c r="X978" s="42"/>
      <c r="Y978" s="42"/>
      <c r="Z978" s="42"/>
      <c r="AA978" s="44"/>
      <c r="AB978" s="44"/>
      <c r="AC978" s="44"/>
      <c r="AD978" s="42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</row>
    <row r="979" spans="1:55" ht="1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26"/>
      <c r="M979" s="8"/>
      <c r="N979" s="8"/>
      <c r="O979" s="42"/>
      <c r="P979" s="42"/>
      <c r="Q979" s="42"/>
      <c r="R979" s="42"/>
      <c r="S979" s="42"/>
      <c r="T979" s="42"/>
      <c r="U979" s="42"/>
      <c r="V979" s="42"/>
      <c r="W979" s="44"/>
      <c r="X979" s="42"/>
      <c r="Y979" s="42"/>
      <c r="Z979" s="42"/>
      <c r="AA979" s="44"/>
      <c r="AB979" s="44"/>
      <c r="AC979" s="44"/>
      <c r="AD979" s="42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</row>
    <row r="980" spans="1:55" ht="1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26"/>
      <c r="M980" s="8"/>
      <c r="N980" s="8"/>
      <c r="O980" s="42"/>
      <c r="P980" s="42"/>
      <c r="Q980" s="42"/>
      <c r="R980" s="42"/>
      <c r="S980" s="42"/>
      <c r="T980" s="42"/>
      <c r="U980" s="42"/>
      <c r="V980" s="42"/>
      <c r="W980" s="44"/>
      <c r="X980" s="42"/>
      <c r="Y980" s="42"/>
      <c r="Z980" s="42"/>
      <c r="AA980" s="44"/>
      <c r="AB980" s="44"/>
      <c r="AC980" s="44"/>
      <c r="AD980" s="42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</row>
    <row r="981" spans="1:55" ht="1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26"/>
      <c r="M981" s="8"/>
      <c r="N981" s="8"/>
      <c r="O981" s="42"/>
      <c r="P981" s="42"/>
      <c r="Q981" s="42"/>
      <c r="R981" s="42"/>
      <c r="S981" s="42"/>
      <c r="T981" s="42"/>
      <c r="U981" s="42"/>
      <c r="V981" s="42"/>
      <c r="W981" s="44"/>
      <c r="X981" s="42"/>
      <c r="Y981" s="42"/>
      <c r="Z981" s="42"/>
      <c r="AA981" s="44"/>
      <c r="AB981" s="44"/>
      <c r="AC981" s="44"/>
      <c r="AD981" s="42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</row>
    <row r="982" spans="1:55" ht="1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26"/>
      <c r="M982" s="8"/>
      <c r="N982" s="8"/>
      <c r="O982" s="42"/>
      <c r="P982" s="42"/>
      <c r="Q982" s="42"/>
      <c r="R982" s="42"/>
      <c r="S982" s="42"/>
      <c r="T982" s="42"/>
      <c r="U982" s="42"/>
      <c r="V982" s="42"/>
      <c r="W982" s="44"/>
      <c r="X982" s="42"/>
      <c r="Y982" s="42"/>
      <c r="Z982" s="42"/>
      <c r="AA982" s="44"/>
      <c r="AB982" s="44"/>
      <c r="AC982" s="44"/>
      <c r="AD982" s="42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</row>
    <row r="983" spans="1:55" ht="1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26"/>
      <c r="M983" s="8"/>
      <c r="N983" s="8"/>
      <c r="O983" s="42"/>
      <c r="P983" s="42"/>
      <c r="Q983" s="42"/>
      <c r="R983" s="42"/>
      <c r="S983" s="42"/>
      <c r="T983" s="42"/>
      <c r="U983" s="42"/>
      <c r="V983" s="42"/>
      <c r="W983" s="44"/>
      <c r="X983" s="42"/>
      <c r="Y983" s="42"/>
      <c r="Z983" s="42"/>
      <c r="AA983" s="44"/>
      <c r="AB983" s="44"/>
      <c r="AC983" s="44"/>
      <c r="AD983" s="42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</row>
    <row r="984" spans="1:55" ht="1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26"/>
      <c r="M984" s="8"/>
      <c r="N984" s="8"/>
      <c r="O984" s="42"/>
      <c r="P984" s="42"/>
      <c r="Q984" s="42"/>
      <c r="R984" s="42"/>
      <c r="S984" s="42"/>
      <c r="T984" s="42"/>
      <c r="U984" s="42"/>
      <c r="V984" s="42"/>
      <c r="W984" s="44"/>
      <c r="X984" s="42"/>
      <c r="Y984" s="42"/>
      <c r="Z984" s="42"/>
      <c r="AA984" s="44"/>
      <c r="AB984" s="44"/>
      <c r="AC984" s="44"/>
      <c r="AD984" s="42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</row>
    <row r="985" spans="1:55" ht="1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26"/>
      <c r="M985" s="8"/>
      <c r="N985" s="8"/>
      <c r="O985" s="42"/>
      <c r="P985" s="42"/>
      <c r="Q985" s="42"/>
      <c r="R985" s="42"/>
      <c r="S985" s="42"/>
      <c r="T985" s="42"/>
      <c r="U985" s="42"/>
      <c r="V985" s="42"/>
      <c r="W985" s="44"/>
      <c r="X985" s="42"/>
      <c r="Y985" s="42"/>
      <c r="Z985" s="42"/>
      <c r="AA985" s="44"/>
      <c r="AB985" s="44"/>
      <c r="AC985" s="44"/>
      <c r="AD985" s="42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</row>
  </sheetData>
  <sheetProtection/>
  <autoFilter ref="A1:BC197"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</cp:lastModifiedBy>
  <dcterms:created xsi:type="dcterms:W3CDTF">2016-07-12T10:07:06Z</dcterms:created>
  <dcterms:modified xsi:type="dcterms:W3CDTF">2016-07-12T10:07:39Z</dcterms:modified>
  <cp:category/>
  <cp:version/>
  <cp:contentType/>
  <cp:contentStatus/>
</cp:coreProperties>
</file>