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390" windowHeight="8700" tabRatio="681" activeTab="0"/>
  </bookViews>
  <sheets>
    <sheet name="Tab. VI.2.1.1A" sheetId="1" r:id="rId1"/>
  </sheets>
  <definedNames>
    <definedName name="_xlnm.Print_Titles" localSheetId="0">'Tab. VI.2.1.1A'!$2:$5</definedName>
  </definedNames>
  <calcPr fullCalcOnLoad="1"/>
</workbook>
</file>

<file path=xl/sharedStrings.xml><?xml version="1.0" encoding="utf-8"?>
<sst xmlns="http://schemas.openxmlformats.org/spreadsheetml/2006/main" count="1116" uniqueCount="314">
  <si>
    <t>Porto</t>
  </si>
  <si>
    <t>Numero di accosti che effettuano servizio di:</t>
  </si>
  <si>
    <t>RO/RO</t>
  </si>
  <si>
    <t>n.d. = dati non disponibili.</t>
  </si>
  <si>
    <t>TOTALE ITALIA</t>
  </si>
  <si>
    <r>
      <t>Fonte:</t>
    </r>
    <r>
      <rPr>
        <sz val="9"/>
        <rFont val="Times New Roman"/>
        <family val="1"/>
      </rPr>
      <t xml:space="preserve"> Ministero dei Trasporti, Capitanerie di Porto.</t>
    </r>
  </si>
  <si>
    <t>Imperia</t>
  </si>
  <si>
    <t>Savona</t>
  </si>
  <si>
    <t>Genova</t>
  </si>
  <si>
    <t>La Spezia</t>
  </si>
  <si>
    <t>Marina di Carrara</t>
  </si>
  <si>
    <t>Viareggio</t>
  </si>
  <si>
    <t>Livorno</t>
  </si>
  <si>
    <t>Portoferraio</t>
  </si>
  <si>
    <t>Civitavecchia</t>
  </si>
  <si>
    <t>Gaeta</t>
  </si>
  <si>
    <t>Napoli</t>
  </si>
  <si>
    <t>Torre del Greco</t>
  </si>
  <si>
    <t>Castellammare di Stabia</t>
  </si>
  <si>
    <t>Salerno</t>
  </si>
  <si>
    <t>Vibo Valentia Marina</t>
  </si>
  <si>
    <t>Gioia Tauro</t>
  </si>
  <si>
    <t>Reggio Calabria</t>
  </si>
  <si>
    <t>Crotone</t>
  </si>
  <si>
    <t>Taranto</t>
  </si>
  <si>
    <t>Gallipoli</t>
  </si>
  <si>
    <t>Brindisi</t>
  </si>
  <si>
    <t>Bari</t>
  </si>
  <si>
    <t>Molfetta</t>
  </si>
  <si>
    <t>Manfredonia</t>
  </si>
  <si>
    <t>Termoli</t>
  </si>
  <si>
    <t>Ortona</t>
  </si>
  <si>
    <t>Pescara</t>
  </si>
  <si>
    <t>San Benedetto del Tronto</t>
  </si>
  <si>
    <t>Ancona</t>
  </si>
  <si>
    <t>Pesaro</t>
  </si>
  <si>
    <t>Rimini</t>
  </si>
  <si>
    <t>Ravenna</t>
  </si>
  <si>
    <t>Chioggia</t>
  </si>
  <si>
    <t>Venezia</t>
  </si>
  <si>
    <t>Monfalcone</t>
  </si>
  <si>
    <t>Trieste</t>
  </si>
  <si>
    <t>Cagliari</t>
  </si>
  <si>
    <t>Olbia</t>
  </si>
  <si>
    <t>La Maddalena</t>
  </si>
  <si>
    <t>Porto Torres</t>
  </si>
  <si>
    <t>Oristano</t>
  </si>
  <si>
    <t>Messina</t>
  </si>
  <si>
    <t>Catania</t>
  </si>
  <si>
    <t>Augusta</t>
  </si>
  <si>
    <t>Siracusa</t>
  </si>
  <si>
    <t>Pozzallo</t>
  </si>
  <si>
    <t>Gela</t>
  </si>
  <si>
    <t>Porto Empedocle</t>
  </si>
  <si>
    <t>Mazara del Vallo</t>
  </si>
  <si>
    <t>Trapani</t>
  </si>
  <si>
    <t>Palermo</t>
  </si>
  <si>
    <t>Milazzo</t>
  </si>
  <si>
    <t>Capitaneria di Porto</t>
  </si>
  <si>
    <t>Aree di stoccaggio (piazzali)</t>
  </si>
  <si>
    <t>Numero</t>
  </si>
  <si>
    <t>passeggeri</t>
  </si>
  <si>
    <t>prodotti petroliferi</t>
  </si>
  <si>
    <t>altre merci liquide</t>
  </si>
  <si>
    <t>merci secche alla rinfusa</t>
  </si>
  <si>
    <t>merci in colli</t>
  </si>
  <si>
    <t>container</t>
  </si>
  <si>
    <t>altre merci</t>
  </si>
  <si>
    <t>pescato</t>
  </si>
  <si>
    <t>diporto</t>
  </si>
  <si>
    <t xml:space="preserve">mezzi di servizio </t>
  </si>
  <si>
    <t>ormeggio navi militari</t>
  </si>
  <si>
    <t>Accosti</t>
  </si>
  <si>
    <t>Lunghezza complessiva (metri)</t>
  </si>
  <si>
    <t>Superficie complessiva (metri quadrati)</t>
  </si>
  <si>
    <t>Terminal passeggeri per traghetti (cabotaggio) e navi da crociera</t>
  </si>
  <si>
    <t>Aree transito per passeggeri</t>
  </si>
  <si>
    <t>Aree raccordo mezzi di trasporto</t>
  </si>
  <si>
    <t>Sale d'attesa</t>
  </si>
  <si>
    <t>Piazzali parcheggio</t>
  </si>
  <si>
    <t>Aree commerciali "duty free"</t>
  </si>
  <si>
    <t>Biglietterie</t>
  </si>
  <si>
    <t>Bus</t>
  </si>
  <si>
    <t>Treno</t>
  </si>
  <si>
    <t>Taxi</t>
  </si>
  <si>
    <t>Pullman turistici</t>
  </si>
  <si>
    <t>Impianti di gestione e smaltimento degli scarichi e dei rifiuti di carico delle navi</t>
  </si>
  <si>
    <t>Numero di attrezzature per carico e scarico container</t>
  </si>
  <si>
    <t>Portainer</t>
  </si>
  <si>
    <t>Transtainer gommata</t>
  </si>
  <si>
    <t>Transtainer su ferro</t>
  </si>
  <si>
    <t>Ralla</t>
  </si>
  <si>
    <t>Reachsteacker</t>
  </si>
  <si>
    <t>Stradale carrier</t>
  </si>
  <si>
    <t>Numero di attrezzature per carico e scarico merce non containerizzata</t>
  </si>
  <si>
    <t>Gru di vario genere</t>
  </si>
  <si>
    <t>Altro</t>
  </si>
  <si>
    <t>Torri di aspirazione, torri carica sacchi, ecc.</t>
  </si>
  <si>
    <t>Motrici per posizionamento semirimorchi</t>
  </si>
  <si>
    <t>Numero di accosti dotati di binari:</t>
  </si>
  <si>
    <t>collegati alla rete ferroviaria</t>
  </si>
  <si>
    <t>non collegati alla rete ferroviaria</t>
  </si>
  <si>
    <t>Tab. VI.2.1.1A - Opere ed infrastrutture portuali per Porto al 31/12/2009</t>
  </si>
  <si>
    <t>Numero totale</t>
  </si>
  <si>
    <t>Per prodotti petroliferi</t>
  </si>
  <si>
    <t>Serbatoi</t>
  </si>
  <si>
    <t>Oleodotti</t>
  </si>
  <si>
    <t>Capacità (metri cubi)</t>
  </si>
  <si>
    <t>Per altri prodotti liquidi</t>
  </si>
  <si>
    <t>Per prodotti alimentari</t>
  </si>
  <si>
    <t>Per altri prodotti</t>
  </si>
  <si>
    <t>Silos</t>
  </si>
  <si>
    <t>Magazzini a temperatura controllata</t>
  </si>
  <si>
    <t>Altri magazzini</t>
  </si>
  <si>
    <t>Superficie totale delle banchine (metri quadrati)</t>
  </si>
  <si>
    <t>n.d.</t>
  </si>
  <si>
    <t>Presenza (sì/ no)</t>
  </si>
  <si>
    <t>sì</t>
  </si>
  <si>
    <t>Corigliano Calabro</t>
  </si>
  <si>
    <t>Roma-Fiumicino</t>
  </si>
  <si>
    <t>Arma di Taggia</t>
  </si>
  <si>
    <t>Bordighera</t>
  </si>
  <si>
    <t>Diano Marina</t>
  </si>
  <si>
    <t>Marina degli Aregai</t>
  </si>
  <si>
    <t>Marina di Capo Pino</t>
  </si>
  <si>
    <t>Marina di San Lorenzo</t>
  </si>
  <si>
    <t>Riva Ligure</t>
  </si>
  <si>
    <t>San Bartolomeo al Mare</t>
  </si>
  <si>
    <t>San Lorenzo al Mare</t>
  </si>
  <si>
    <t>Sanremo</t>
  </si>
  <si>
    <t>Santo Stefano al Mare</t>
  </si>
  <si>
    <t>Alassio</t>
  </si>
  <si>
    <t>Andora</t>
  </si>
  <si>
    <t>Cala Cravieu</t>
  </si>
  <si>
    <t>Finale Ligure</t>
  </si>
  <si>
    <t>Loano</t>
  </si>
  <si>
    <t>Marina di Varazze</t>
  </si>
  <si>
    <t>Vado Ligure</t>
  </si>
  <si>
    <t>Arenzano</t>
  </si>
  <si>
    <t>Chiavari</t>
  </si>
  <si>
    <t>Lavagna</t>
  </si>
  <si>
    <t>Portofino</t>
  </si>
  <si>
    <t>Rapallo</t>
  </si>
  <si>
    <t>Santa Margherita Ligure</t>
  </si>
  <si>
    <t>Lerici</t>
  </si>
  <si>
    <t>Portovenere</t>
  </si>
  <si>
    <t>Forte dei Marmi</t>
  </si>
  <si>
    <t>Isola di Capraia</t>
  </si>
  <si>
    <t>Castiglione della Pescaia</t>
  </si>
  <si>
    <t>Marina di Grosseto</t>
  </si>
  <si>
    <t>Orbetello</t>
  </si>
  <si>
    <t>Porto Ercole</t>
  </si>
  <si>
    <t>Porto Santo Stefano</t>
  </si>
  <si>
    <t>Punta Ala</t>
  </si>
  <si>
    <t>Talamone</t>
  </si>
  <si>
    <t>Vada</t>
  </si>
  <si>
    <t>Cavo - Rio Marina</t>
  </si>
  <si>
    <t>Marciana Marina</t>
  </si>
  <si>
    <t>Marina di Campo</t>
  </si>
  <si>
    <t>Porto Azzurro</t>
  </si>
  <si>
    <t>Anzio</t>
  </si>
  <si>
    <t>Fiumicino</t>
  </si>
  <si>
    <t>Caposele</t>
  </si>
  <si>
    <t>Ponza</t>
  </si>
  <si>
    <t>Porto Nuovo di Formia</t>
  </si>
  <si>
    <t>San Felice Circeo</t>
  </si>
  <si>
    <t>Scauri di Minturno</t>
  </si>
  <si>
    <t>Sperlonga</t>
  </si>
  <si>
    <t>Terracina</t>
  </si>
  <si>
    <t>Capri</t>
  </si>
  <si>
    <t>Ischia</t>
  </si>
  <si>
    <t>Pozzuoli</t>
  </si>
  <si>
    <t>Procida</t>
  </si>
  <si>
    <t>Portici</t>
  </si>
  <si>
    <t>Marina di Stabia</t>
  </si>
  <si>
    <t>Marina della Lobra - Massa Lubrense</t>
  </si>
  <si>
    <t>Piano di Sorrento</t>
  </si>
  <si>
    <t>Sorrento</t>
  </si>
  <si>
    <t>Torre Annunziata</t>
  </si>
  <si>
    <t>Vico Equense</t>
  </si>
  <si>
    <t>Acciaroli</t>
  </si>
  <si>
    <t>Agnone</t>
  </si>
  <si>
    <t>Agropoli</t>
  </si>
  <si>
    <t>Amalfi</t>
  </si>
  <si>
    <t>Casal Velino</t>
  </si>
  <si>
    <t>Cetara</t>
  </si>
  <si>
    <t>Maiori</t>
  </si>
  <si>
    <t>Marina di Camerota</t>
  </si>
  <si>
    <t>Marina di Pisciotta</t>
  </si>
  <si>
    <t>Palinuro</t>
  </si>
  <si>
    <t>Policastro Bussentino</t>
  </si>
  <si>
    <t>Positano</t>
  </si>
  <si>
    <t>San Marco di Castellabate</t>
  </si>
  <si>
    <t>Sapri</t>
  </si>
  <si>
    <t>Scario</t>
  </si>
  <si>
    <t>Amantea</t>
  </si>
  <si>
    <t>Cetraro</t>
  </si>
  <si>
    <t>Maratea</t>
  </si>
  <si>
    <t>Pizzo</t>
  </si>
  <si>
    <t>Tropea</t>
  </si>
  <si>
    <t>Vibo Valentia</t>
  </si>
  <si>
    <t>Bagnara Calabra</t>
  </si>
  <si>
    <t>Roccella Jonica</t>
  </si>
  <si>
    <t>Scilla</t>
  </si>
  <si>
    <t>Villa San Giovanni</t>
  </si>
  <si>
    <t>Cirò Marina</t>
  </si>
  <si>
    <t>Le Castella</t>
  </si>
  <si>
    <t>Cariati Marina</t>
  </si>
  <si>
    <t>Campomarino di Maruggio</t>
  </si>
  <si>
    <t>Marina degli Argonauti</t>
  </si>
  <si>
    <t>Castro</t>
  </si>
  <si>
    <t>Frigole</t>
  </si>
  <si>
    <t>Miggiano</t>
  </si>
  <si>
    <t>Otranto</t>
  </si>
  <si>
    <t>Porto Cesareo</t>
  </si>
  <si>
    <t>San Cataldo di Lecce</t>
  </si>
  <si>
    <t>San Foca di Melendugno</t>
  </si>
  <si>
    <t>Santa Caterina di Nardò</t>
  </si>
  <si>
    <t>Santa Maria di Leuca</t>
  </si>
  <si>
    <t>Torre Pali</t>
  </si>
  <si>
    <t>Torre San Giovanni D'Ugento</t>
  </si>
  <si>
    <t>Torre Vado</t>
  </si>
  <si>
    <t>Tricase</t>
  </si>
  <si>
    <t>Savelletri</t>
  </si>
  <si>
    <t>Torre Canne</t>
  </si>
  <si>
    <t>Villanova di Ostuni</t>
  </si>
  <si>
    <t>Monopoli</t>
  </si>
  <si>
    <t>Barletta</t>
  </si>
  <si>
    <t>Bisceglie</t>
  </si>
  <si>
    <t>Giovinazzo</t>
  </si>
  <si>
    <t>Trani</t>
  </si>
  <si>
    <t>Margherita di Savoia</t>
  </si>
  <si>
    <t>Mattinata</t>
  </si>
  <si>
    <t>Peschici</t>
  </si>
  <si>
    <t>Rodi Garganico</t>
  </si>
  <si>
    <t>Vieste</t>
  </si>
  <si>
    <t>Isole Tremiti</t>
  </si>
  <si>
    <t>Vasto</t>
  </si>
  <si>
    <t>Giulianova</t>
  </si>
  <si>
    <t>Roseto degli Abruzzi</t>
  </si>
  <si>
    <t>Porto San Giorgio</t>
  </si>
  <si>
    <t>Civitanova Marche</t>
  </si>
  <si>
    <t>Numana</t>
  </si>
  <si>
    <t>Porto Recanati</t>
  </si>
  <si>
    <t>Senigallia</t>
  </si>
  <si>
    <t>Baia Vallugola</t>
  </si>
  <si>
    <t>Fano</t>
  </si>
  <si>
    <t>Bellaria</t>
  </si>
  <si>
    <t>Cattolica</t>
  </si>
  <si>
    <t>Cesenatico</t>
  </si>
  <si>
    <t>Porto Verde - Misano Adriatico</t>
  </si>
  <si>
    <t>Riccione</t>
  </si>
  <si>
    <t>Cervia</t>
  </si>
  <si>
    <t>Goro</t>
  </si>
  <si>
    <t>Porto Garibaldi</t>
  </si>
  <si>
    <t>Chioggia (Isola Saloni)</t>
  </si>
  <si>
    <t>Chioggia (Val da Rio)</t>
  </si>
  <si>
    <t>Cortellazzo</t>
  </si>
  <si>
    <t>Darsena dell'Orologio</t>
  </si>
  <si>
    <t>Darsena Mariclea</t>
  </si>
  <si>
    <t>Darsena Marina 4</t>
  </si>
  <si>
    <t>Falconera</t>
  </si>
  <si>
    <t>Piave Vecchia - Jesolo</t>
  </si>
  <si>
    <t>Porto Baseleghe</t>
  </si>
  <si>
    <t>Porto Peschereccio</t>
  </si>
  <si>
    <t>Sansonessa</t>
  </si>
  <si>
    <t>Arbatax</t>
  </si>
  <si>
    <t>Bosa</t>
  </si>
  <si>
    <t>Calasetta</t>
  </si>
  <si>
    <t>Carloforte - Isola di San Pietro</t>
  </si>
  <si>
    <t>Isola Piana</t>
  </si>
  <si>
    <t>Ponte Romano - Sant'Antioco</t>
  </si>
  <si>
    <t>Portovesme</t>
  </si>
  <si>
    <t>Palau</t>
  </si>
  <si>
    <t>Santa Teresa di Gallura</t>
  </si>
  <si>
    <t>Alghero</t>
  </si>
  <si>
    <t>Castelsardo</t>
  </si>
  <si>
    <t>Fertilia</t>
  </si>
  <si>
    <t>Porto Conte</t>
  </si>
  <si>
    <t>Stintino</t>
  </si>
  <si>
    <t>Giardini di Naxos</t>
  </si>
  <si>
    <t>San Francesco</t>
  </si>
  <si>
    <t>Tremestieri</t>
  </si>
  <si>
    <t>Acicastello</t>
  </si>
  <si>
    <t>Ognina</t>
  </si>
  <si>
    <t>Pozzillo</t>
  </si>
  <si>
    <t>Riposto</t>
  </si>
  <si>
    <t>Santa Maria La Scala</t>
  </si>
  <si>
    <t>Santa Tecla</t>
  </si>
  <si>
    <t>Stazzo</t>
  </si>
  <si>
    <t>Donnalucata</t>
  </si>
  <si>
    <t>Marina di Ragusa</t>
  </si>
  <si>
    <t>Scoglitti</t>
  </si>
  <si>
    <t>Lampedusa e Linosa</t>
  </si>
  <si>
    <t>Bonagia</t>
  </si>
  <si>
    <t>Castellammare del Golfo</t>
  </si>
  <si>
    <t>Favignana</t>
  </si>
  <si>
    <t>Marsala</t>
  </si>
  <si>
    <t>Porto Nuovo di Pantelleria</t>
  </si>
  <si>
    <t>Porto Vecchio di Pantelleria</t>
  </si>
  <si>
    <t>San Vito Lo Capo</t>
  </si>
  <si>
    <t>Scalo Nuovo</t>
  </si>
  <si>
    <t>Scalo Vecchio</t>
  </si>
  <si>
    <t>Scauri</t>
  </si>
  <si>
    <t>Termini Imerese</t>
  </si>
  <si>
    <t>Capo d'Orlando</t>
  </si>
  <si>
    <t>Lipari</t>
  </si>
  <si>
    <t>Marina di Portorosa</t>
  </si>
  <si>
    <t>Patti Marina</t>
  </si>
  <si>
    <t>Santa Agata di Militello</t>
  </si>
  <si>
    <t>Riva Trigoso</t>
  </si>
  <si>
    <t>Marina di Montalto di Castro</t>
  </si>
  <si>
    <t>Riva di Traiano</t>
  </si>
  <si>
    <t>Santa Marinella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</si>
</sst>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h\.mm\.ss"/>
    <numFmt numFmtId="166" formatCode="[$-410]dddd\ d\ mmmm\ yyyy"/>
    <numFmt numFmtId="167" formatCode="_-* #,##0.0_-;\-* #,##0.0_-;_-* &quot;-&quot;?_-;_-@_-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1" fontId="1" fillId="0" borderId="0" xfId="46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41" fontId="9" fillId="0" borderId="0" xfId="46" applyFont="1" applyFill="1" applyBorder="1" applyAlignment="1">
      <alignment horizontal="center" vertical="center" textRotation="90" wrapText="1"/>
    </xf>
    <xf numFmtId="41" fontId="1" fillId="0" borderId="14" xfId="46" applyFont="1" applyFill="1" applyBorder="1" applyAlignment="1">
      <alignment horizontal="center" vertical="center" textRotation="90" wrapText="1"/>
    </xf>
    <xf numFmtId="41" fontId="7" fillId="0" borderId="0" xfId="46" applyNumberFormat="1" applyFont="1" applyFill="1" applyBorder="1" applyAlignment="1">
      <alignment horizontal="right"/>
    </xf>
    <xf numFmtId="41" fontId="7" fillId="0" borderId="15" xfId="46" applyNumberFormat="1" applyFont="1" applyFill="1" applyBorder="1" applyAlignment="1">
      <alignment horizontal="right"/>
    </xf>
    <xf numFmtId="41" fontId="7" fillId="0" borderId="16" xfId="46" applyNumberFormat="1" applyFont="1" applyFill="1" applyBorder="1" applyAlignment="1">
      <alignment horizontal="right"/>
    </xf>
    <xf numFmtId="41" fontId="7" fillId="0" borderId="16" xfId="0" applyNumberFormat="1" applyFont="1" applyFill="1" applyBorder="1" applyAlignment="1">
      <alignment horizontal="right"/>
    </xf>
    <xf numFmtId="41" fontId="7" fillId="0" borderId="15" xfId="0" applyNumberFormat="1" applyFont="1" applyFill="1" applyBorder="1" applyAlignment="1">
      <alignment horizontal="right"/>
    </xf>
    <xf numFmtId="41" fontId="8" fillId="0" borderId="17" xfId="45" applyNumberFormat="1" applyFont="1" applyFill="1" applyBorder="1" applyAlignment="1">
      <alignment horizontal="right"/>
    </xf>
    <xf numFmtId="41" fontId="7" fillId="0" borderId="18" xfId="45" applyNumberFormat="1" applyFont="1" applyFill="1" applyBorder="1" applyAlignment="1">
      <alignment horizontal="right"/>
    </xf>
    <xf numFmtId="41" fontId="7" fillId="0" borderId="19" xfId="45" applyNumberFormat="1" applyFont="1" applyFill="1" applyBorder="1" applyAlignment="1">
      <alignment horizontal="right"/>
    </xf>
    <xf numFmtId="41" fontId="7" fillId="0" borderId="20" xfId="45" applyNumberFormat="1" applyFont="1" applyFill="1" applyBorder="1" applyAlignment="1">
      <alignment horizontal="right"/>
    </xf>
    <xf numFmtId="41" fontId="7" fillId="0" borderId="15" xfId="45" applyNumberFormat="1" applyFont="1" applyFill="1" applyBorder="1" applyAlignment="1">
      <alignment horizontal="right"/>
    </xf>
    <xf numFmtId="41" fontId="7" fillId="0" borderId="0" xfId="45" applyNumberFormat="1" applyFont="1" applyFill="1" applyBorder="1" applyAlignment="1">
      <alignment horizontal="right"/>
    </xf>
    <xf numFmtId="41" fontId="7" fillId="0" borderId="16" xfId="45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/>
    </xf>
    <xf numFmtId="41" fontId="1" fillId="0" borderId="0" xfId="46" applyFont="1" applyFill="1" applyBorder="1" applyAlignment="1">
      <alignment horizontal="center" vertical="center" wrapText="1"/>
    </xf>
    <xf numFmtId="41" fontId="1" fillId="0" borderId="20" xfId="46" applyFont="1" applyFill="1" applyBorder="1" applyAlignment="1">
      <alignment horizontal="center" vertical="center" wrapText="1"/>
    </xf>
    <xf numFmtId="41" fontId="1" fillId="0" borderId="19" xfId="46" applyFont="1" applyFill="1" applyBorder="1" applyAlignment="1">
      <alignment horizontal="center" vertical="center" wrapText="1"/>
    </xf>
    <xf numFmtId="41" fontId="1" fillId="0" borderId="18" xfId="46" applyFont="1" applyFill="1" applyBorder="1" applyAlignment="1">
      <alignment horizontal="center" vertical="center" wrapText="1"/>
    </xf>
    <xf numFmtId="41" fontId="1" fillId="0" borderId="16" xfId="46" applyFont="1" applyFill="1" applyBorder="1" applyAlignment="1">
      <alignment horizontal="center" vertical="center" textRotation="90" wrapText="1"/>
    </xf>
    <xf numFmtId="41" fontId="1" fillId="0" borderId="21" xfId="46" applyFont="1" applyFill="1" applyBorder="1" applyAlignment="1">
      <alignment horizontal="center" vertical="center" textRotation="90" wrapText="1"/>
    </xf>
    <xf numFmtId="41" fontId="1" fillId="0" borderId="0" xfId="46" applyFont="1" applyFill="1" applyBorder="1" applyAlignment="1">
      <alignment horizontal="center" vertical="center" textRotation="90" wrapText="1"/>
    </xf>
    <xf numFmtId="41" fontId="1" fillId="0" borderId="14" xfId="46" applyFont="1" applyFill="1" applyBorder="1" applyAlignment="1">
      <alignment horizontal="center" vertical="center" textRotation="90" wrapText="1"/>
    </xf>
    <xf numFmtId="41" fontId="1" fillId="0" borderId="0" xfId="46" applyFont="1" applyFill="1" applyBorder="1" applyAlignment="1">
      <alignment horizontal="center" vertical="center" wrapText="1"/>
    </xf>
    <xf numFmtId="41" fontId="1" fillId="0" borderId="15" xfId="46" applyFont="1" applyFill="1" applyBorder="1" applyAlignment="1">
      <alignment horizontal="center" vertical="center" wrapText="1"/>
    </xf>
    <xf numFmtId="41" fontId="1" fillId="0" borderId="10" xfId="46" applyFont="1" applyFill="1" applyBorder="1" applyAlignment="1">
      <alignment horizontal="center" vertical="center" wrapText="1"/>
    </xf>
    <xf numFmtId="41" fontId="1" fillId="0" borderId="11" xfId="46" applyFont="1" applyFill="1" applyBorder="1" applyAlignment="1">
      <alignment horizontal="center" vertical="center" wrapText="1"/>
    </xf>
    <xf numFmtId="41" fontId="1" fillId="0" borderId="22" xfId="46" applyFont="1" applyFill="1" applyBorder="1" applyAlignment="1">
      <alignment horizontal="center" vertical="center" wrapText="1"/>
    </xf>
    <xf numFmtId="41" fontId="1" fillId="0" borderId="16" xfId="46" applyFont="1" applyFill="1" applyBorder="1" applyAlignment="1">
      <alignment horizontal="center" vertical="center" wrapText="1"/>
    </xf>
    <xf numFmtId="41" fontId="1" fillId="0" borderId="15" xfId="46" applyFont="1" applyFill="1" applyBorder="1" applyAlignment="1">
      <alignment horizontal="center" vertical="center" textRotation="90" wrapText="1"/>
    </xf>
    <xf numFmtId="41" fontId="1" fillId="0" borderId="23" xfId="46" applyFont="1" applyFill="1" applyBorder="1" applyAlignment="1">
      <alignment horizontal="center" vertical="center" textRotation="90" wrapText="1"/>
    </xf>
    <xf numFmtId="41" fontId="9" fillId="0" borderId="16" xfId="46" applyFont="1" applyFill="1" applyBorder="1" applyAlignment="1">
      <alignment horizontal="center" vertical="center" textRotation="90" wrapText="1"/>
    </xf>
    <xf numFmtId="41" fontId="9" fillId="0" borderId="21" xfId="46" applyFont="1" applyFill="1" applyBorder="1" applyAlignment="1">
      <alignment horizontal="center" vertical="center" textRotation="90" wrapText="1"/>
    </xf>
    <xf numFmtId="0" fontId="1" fillId="0" borderId="20" xfId="46" applyNumberFormat="1" applyFont="1" applyBorder="1" applyAlignment="1">
      <alignment horizontal="center" vertical="center" wrapText="1"/>
    </xf>
    <xf numFmtId="0" fontId="1" fillId="0" borderId="19" xfId="46" applyNumberFormat="1" applyFont="1" applyBorder="1" applyAlignment="1">
      <alignment horizontal="center" vertical="center" wrapText="1"/>
    </xf>
    <xf numFmtId="0" fontId="1" fillId="0" borderId="18" xfId="46" applyNumberFormat="1" applyFont="1" applyBorder="1" applyAlignment="1">
      <alignment horizontal="center" vertical="center" wrapText="1"/>
    </xf>
    <xf numFmtId="0" fontId="1" fillId="0" borderId="16" xfId="46" applyNumberFormat="1" applyFont="1" applyBorder="1" applyAlignment="1">
      <alignment horizontal="center" vertical="center" wrapText="1"/>
    </xf>
    <xf numFmtId="0" fontId="1" fillId="0" borderId="0" xfId="46" applyNumberFormat="1" applyFont="1" applyBorder="1" applyAlignment="1">
      <alignment horizontal="center" vertical="center" wrapText="1"/>
    </xf>
    <xf numFmtId="0" fontId="1" fillId="0" borderId="15" xfId="46" applyNumberFormat="1" applyFont="1" applyBorder="1" applyAlignment="1">
      <alignment horizontal="center" vertical="center" wrapText="1"/>
    </xf>
    <xf numFmtId="0" fontId="1" fillId="0" borderId="20" xfId="46" applyNumberFormat="1" applyFont="1" applyBorder="1" applyAlignment="1">
      <alignment horizontal="center" vertical="center"/>
    </xf>
    <xf numFmtId="0" fontId="1" fillId="0" borderId="19" xfId="46" applyNumberFormat="1" applyFont="1" applyBorder="1" applyAlignment="1">
      <alignment horizontal="center" vertical="center"/>
    </xf>
    <xf numFmtId="0" fontId="1" fillId="0" borderId="18" xfId="46" applyNumberFormat="1" applyFont="1" applyBorder="1" applyAlignment="1">
      <alignment horizontal="center" vertical="center"/>
    </xf>
    <xf numFmtId="0" fontId="1" fillId="0" borderId="16" xfId="46" applyNumberFormat="1" applyFont="1" applyBorder="1" applyAlignment="1">
      <alignment horizontal="center" vertical="center"/>
    </xf>
    <xf numFmtId="0" fontId="1" fillId="0" borderId="0" xfId="46" applyNumberFormat="1" applyFont="1" applyBorder="1" applyAlignment="1">
      <alignment horizontal="center" vertical="center"/>
    </xf>
    <xf numFmtId="0" fontId="1" fillId="0" borderId="15" xfId="46" applyNumberFormat="1" applyFont="1" applyBorder="1" applyAlignment="1">
      <alignment horizontal="center" vertical="center"/>
    </xf>
    <xf numFmtId="41" fontId="9" fillId="0" borderId="0" xfId="46" applyFont="1" applyFill="1" applyBorder="1" applyAlignment="1">
      <alignment horizontal="center" vertical="center" textRotation="90" wrapText="1"/>
    </xf>
    <xf numFmtId="41" fontId="9" fillId="0" borderId="14" xfId="46" applyFont="1" applyFill="1" applyBorder="1" applyAlignment="1">
      <alignment horizontal="center" vertical="center" textRotation="90" wrapText="1"/>
    </xf>
    <xf numFmtId="41" fontId="9" fillId="0" borderId="15" xfId="46" applyFont="1" applyFill="1" applyBorder="1" applyAlignment="1">
      <alignment horizontal="center" vertical="center" textRotation="90" wrapText="1"/>
    </xf>
    <xf numFmtId="41" fontId="9" fillId="0" borderId="23" xfId="46" applyFont="1" applyFill="1" applyBorder="1" applyAlignment="1">
      <alignment horizontal="center" vertic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5.7109375" style="2" customWidth="1"/>
    <col min="3" max="3" width="10.7109375" style="2" customWidth="1"/>
    <col min="4" max="4" width="5.7109375" style="2" customWidth="1"/>
    <col min="5" max="5" width="10.7109375" style="2" customWidth="1"/>
    <col min="6" max="6" width="5.7109375" style="2" customWidth="1"/>
    <col min="7" max="7" width="10.7109375" style="2" customWidth="1"/>
    <col min="8" max="8" width="5.7109375" style="2" customWidth="1"/>
    <col min="9" max="9" width="10.7109375" style="2" customWidth="1"/>
    <col min="10" max="10" width="5.7109375" style="2" customWidth="1"/>
    <col min="11" max="11" width="10.7109375" style="2" customWidth="1"/>
    <col min="12" max="12" width="5.7109375" style="2" customWidth="1"/>
    <col min="13" max="13" width="10.7109375" style="2" customWidth="1"/>
    <col min="14" max="14" width="5.7109375" style="2" customWidth="1"/>
    <col min="15" max="15" width="10.7109375" style="2" customWidth="1"/>
    <col min="16" max="16" width="5.7109375" style="2" customWidth="1"/>
    <col min="17" max="17" width="10.7109375" style="2" customWidth="1"/>
    <col min="18" max="18" width="5.7109375" style="2" customWidth="1"/>
    <col min="19" max="19" width="11.7109375" style="2" customWidth="1"/>
    <col min="20" max="20" width="5.7109375" style="2" customWidth="1"/>
    <col min="21" max="22" width="10.7109375" style="2" customWidth="1"/>
    <col min="23" max="23" width="5.7109375" style="2" customWidth="1"/>
    <col min="24" max="25" width="10.7109375" style="2" customWidth="1"/>
    <col min="26" max="26" width="5.7109375" style="2" customWidth="1"/>
    <col min="27" max="27" width="10.7109375" style="2" customWidth="1"/>
    <col min="28" max="28" width="5.7109375" style="2" customWidth="1"/>
    <col min="29" max="29" width="10.7109375" style="2" customWidth="1"/>
    <col min="30" max="30" width="5.7109375" style="2" customWidth="1"/>
    <col min="31" max="31" width="10.7109375" style="2" customWidth="1"/>
    <col min="32" max="32" width="5.7109375" style="2" customWidth="1"/>
    <col min="33" max="33" width="10.7109375" style="2" customWidth="1"/>
    <col min="34" max="34" width="5.7109375" style="2" customWidth="1"/>
    <col min="35" max="35" width="10.7109375" style="2" customWidth="1"/>
    <col min="36" max="36" width="5.7109375" style="2" customWidth="1"/>
    <col min="37" max="37" width="10.7109375" style="2" customWidth="1"/>
    <col min="38" max="38" width="5.7109375" style="2" customWidth="1"/>
    <col min="39" max="39" width="10.7109375" style="2" customWidth="1"/>
    <col min="40" max="45" width="5.7109375" style="2" customWidth="1"/>
    <col min="46" max="50" width="6.7109375" style="2" customWidth="1"/>
    <col min="51" max="52" width="10.7109375" style="2" customWidth="1"/>
    <col min="53" max="64" width="6.7109375" style="2" customWidth="1"/>
    <col min="65" max="66" width="5.7109375" style="2" customWidth="1"/>
    <col min="67" max="67" width="25.7109375" style="2" customWidth="1"/>
    <col min="68" max="16384" width="9.140625" style="2" customWidth="1"/>
  </cols>
  <sheetData>
    <row r="1" spans="1:37" ht="15.7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67" ht="60" customHeight="1">
      <c r="A2" s="37" t="s">
        <v>0</v>
      </c>
      <c r="B2" s="28" t="s">
        <v>75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R2" s="28" t="s">
        <v>59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30"/>
      <c r="AL2" s="28" t="s">
        <v>86</v>
      </c>
      <c r="AM2" s="30"/>
      <c r="AN2" s="45" t="s">
        <v>87</v>
      </c>
      <c r="AO2" s="46"/>
      <c r="AP2" s="46"/>
      <c r="AQ2" s="46"/>
      <c r="AR2" s="46"/>
      <c r="AS2" s="47"/>
      <c r="AT2" s="45" t="s">
        <v>94</v>
      </c>
      <c r="AU2" s="46"/>
      <c r="AV2" s="46"/>
      <c r="AW2" s="47"/>
      <c r="AX2" s="28" t="s">
        <v>72</v>
      </c>
      <c r="AY2" s="29"/>
      <c r="AZ2" s="30"/>
      <c r="BA2" s="51" t="s">
        <v>1</v>
      </c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3"/>
      <c r="BM2" s="28" t="s">
        <v>99</v>
      </c>
      <c r="BN2" s="30"/>
      <c r="BO2" s="37" t="s">
        <v>58</v>
      </c>
    </row>
    <row r="3" spans="1:67" ht="60" customHeight="1">
      <c r="A3" s="38"/>
      <c r="B3" s="40" t="s">
        <v>76</v>
      </c>
      <c r="C3" s="35"/>
      <c r="D3" s="35"/>
      <c r="E3" s="35"/>
      <c r="F3" s="35"/>
      <c r="G3" s="35"/>
      <c r="H3" s="35"/>
      <c r="I3" s="35"/>
      <c r="J3" s="35" t="s">
        <v>77</v>
      </c>
      <c r="K3" s="35"/>
      <c r="L3" s="35"/>
      <c r="M3" s="35"/>
      <c r="N3" s="35"/>
      <c r="O3" s="35"/>
      <c r="P3" s="35"/>
      <c r="Q3" s="36"/>
      <c r="R3" s="31" t="s">
        <v>103</v>
      </c>
      <c r="S3" s="33" t="s">
        <v>74</v>
      </c>
      <c r="T3" s="35" t="s">
        <v>104</v>
      </c>
      <c r="U3" s="35"/>
      <c r="V3" s="35"/>
      <c r="W3" s="35" t="s">
        <v>108</v>
      </c>
      <c r="X3" s="35"/>
      <c r="Y3" s="35"/>
      <c r="Z3" s="35" t="s">
        <v>109</v>
      </c>
      <c r="AA3" s="35"/>
      <c r="AB3" s="35"/>
      <c r="AC3" s="35"/>
      <c r="AD3" s="35"/>
      <c r="AE3" s="35"/>
      <c r="AF3" s="35" t="s">
        <v>110</v>
      </c>
      <c r="AG3" s="35"/>
      <c r="AH3" s="35"/>
      <c r="AI3" s="35"/>
      <c r="AJ3" s="35"/>
      <c r="AK3" s="36"/>
      <c r="AL3" s="40"/>
      <c r="AM3" s="36"/>
      <c r="AN3" s="48"/>
      <c r="AO3" s="49"/>
      <c r="AP3" s="49"/>
      <c r="AQ3" s="49"/>
      <c r="AR3" s="49"/>
      <c r="AS3" s="50"/>
      <c r="AT3" s="48"/>
      <c r="AU3" s="49"/>
      <c r="AV3" s="49"/>
      <c r="AW3" s="50"/>
      <c r="AX3" s="40"/>
      <c r="AY3" s="35"/>
      <c r="AZ3" s="36"/>
      <c r="BA3" s="54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6"/>
      <c r="BM3" s="40"/>
      <c r="BN3" s="36"/>
      <c r="BO3" s="38"/>
    </row>
    <row r="4" spans="1:67" ht="43.5" customHeight="1">
      <c r="A4" s="38"/>
      <c r="B4" s="40" t="s">
        <v>78</v>
      </c>
      <c r="C4" s="35"/>
      <c r="D4" s="35" t="s">
        <v>79</v>
      </c>
      <c r="E4" s="35"/>
      <c r="F4" s="35" t="s">
        <v>80</v>
      </c>
      <c r="G4" s="35"/>
      <c r="H4" s="35" t="s">
        <v>81</v>
      </c>
      <c r="I4" s="35"/>
      <c r="J4" s="35" t="s">
        <v>82</v>
      </c>
      <c r="K4" s="35"/>
      <c r="L4" s="35" t="s">
        <v>83</v>
      </c>
      <c r="M4" s="35"/>
      <c r="N4" s="35" t="s">
        <v>84</v>
      </c>
      <c r="O4" s="35"/>
      <c r="P4" s="35" t="s">
        <v>85</v>
      </c>
      <c r="Q4" s="36"/>
      <c r="R4" s="31"/>
      <c r="S4" s="33"/>
      <c r="T4" s="35" t="s">
        <v>105</v>
      </c>
      <c r="U4" s="35"/>
      <c r="V4" s="27" t="s">
        <v>106</v>
      </c>
      <c r="W4" s="35" t="s">
        <v>105</v>
      </c>
      <c r="X4" s="35"/>
      <c r="Y4" s="27" t="s">
        <v>106</v>
      </c>
      <c r="Z4" s="35" t="s">
        <v>111</v>
      </c>
      <c r="AA4" s="35"/>
      <c r="AB4" s="35" t="s">
        <v>112</v>
      </c>
      <c r="AC4" s="35"/>
      <c r="AD4" s="35" t="s">
        <v>113</v>
      </c>
      <c r="AE4" s="35"/>
      <c r="AF4" s="35" t="s">
        <v>111</v>
      </c>
      <c r="AG4" s="35"/>
      <c r="AH4" s="35" t="s">
        <v>112</v>
      </c>
      <c r="AI4" s="35"/>
      <c r="AJ4" s="35" t="s">
        <v>113</v>
      </c>
      <c r="AK4" s="35"/>
      <c r="AL4" s="31" t="s">
        <v>60</v>
      </c>
      <c r="AM4" s="41" t="s">
        <v>74</v>
      </c>
      <c r="AN4" s="43" t="s">
        <v>88</v>
      </c>
      <c r="AO4" s="57" t="s">
        <v>89</v>
      </c>
      <c r="AP4" s="57" t="s">
        <v>90</v>
      </c>
      <c r="AQ4" s="57" t="s">
        <v>91</v>
      </c>
      <c r="AR4" s="57" t="s">
        <v>92</v>
      </c>
      <c r="AS4" s="59" t="s">
        <v>93</v>
      </c>
      <c r="AT4" s="43" t="s">
        <v>95</v>
      </c>
      <c r="AU4" s="57" t="s">
        <v>97</v>
      </c>
      <c r="AV4" s="57" t="s">
        <v>98</v>
      </c>
      <c r="AW4" s="59" t="s">
        <v>96</v>
      </c>
      <c r="AX4" s="31" t="s">
        <v>60</v>
      </c>
      <c r="AY4" s="33" t="s">
        <v>73</v>
      </c>
      <c r="AZ4" s="41" t="s">
        <v>114</v>
      </c>
      <c r="BA4" s="43" t="s">
        <v>61</v>
      </c>
      <c r="BB4" s="57" t="s">
        <v>62</v>
      </c>
      <c r="BC4" s="57" t="s">
        <v>63</v>
      </c>
      <c r="BD4" s="57" t="s">
        <v>64</v>
      </c>
      <c r="BE4" s="57" t="s">
        <v>65</v>
      </c>
      <c r="BF4" s="57" t="s">
        <v>66</v>
      </c>
      <c r="BG4" s="57" t="s">
        <v>2</v>
      </c>
      <c r="BH4" s="57" t="s">
        <v>67</v>
      </c>
      <c r="BI4" s="57" t="s">
        <v>68</v>
      </c>
      <c r="BJ4" s="57" t="s">
        <v>69</v>
      </c>
      <c r="BK4" s="57" t="s">
        <v>70</v>
      </c>
      <c r="BL4" s="59" t="s">
        <v>71</v>
      </c>
      <c r="BM4" s="31" t="s">
        <v>100</v>
      </c>
      <c r="BN4" s="41" t="s">
        <v>101</v>
      </c>
      <c r="BO4" s="38"/>
    </row>
    <row r="5" spans="1:67" s="11" customFormat="1" ht="126" customHeight="1">
      <c r="A5" s="39"/>
      <c r="B5" s="12" t="s">
        <v>60</v>
      </c>
      <c r="C5" s="12" t="s">
        <v>74</v>
      </c>
      <c r="D5" s="12" t="s">
        <v>60</v>
      </c>
      <c r="E5" s="12" t="s">
        <v>74</v>
      </c>
      <c r="F5" s="12" t="s">
        <v>60</v>
      </c>
      <c r="G5" s="12" t="s">
        <v>74</v>
      </c>
      <c r="H5" s="12" t="s">
        <v>60</v>
      </c>
      <c r="I5" s="12" t="s">
        <v>74</v>
      </c>
      <c r="J5" s="12" t="s">
        <v>60</v>
      </c>
      <c r="K5" s="12" t="s">
        <v>74</v>
      </c>
      <c r="L5" s="12" t="s">
        <v>60</v>
      </c>
      <c r="M5" s="12" t="s">
        <v>74</v>
      </c>
      <c r="N5" s="12" t="s">
        <v>60</v>
      </c>
      <c r="O5" s="12" t="s">
        <v>74</v>
      </c>
      <c r="P5" s="12" t="s">
        <v>60</v>
      </c>
      <c r="Q5" s="12" t="s">
        <v>74</v>
      </c>
      <c r="R5" s="32"/>
      <c r="S5" s="34"/>
      <c r="T5" s="13" t="s">
        <v>60</v>
      </c>
      <c r="U5" s="13" t="s">
        <v>107</v>
      </c>
      <c r="V5" s="13" t="s">
        <v>116</v>
      </c>
      <c r="W5" s="13" t="s">
        <v>60</v>
      </c>
      <c r="X5" s="13" t="s">
        <v>107</v>
      </c>
      <c r="Y5" s="13" t="s">
        <v>116</v>
      </c>
      <c r="Z5" s="13" t="s">
        <v>60</v>
      </c>
      <c r="AA5" s="13" t="s">
        <v>107</v>
      </c>
      <c r="AB5" s="13" t="s">
        <v>60</v>
      </c>
      <c r="AC5" s="13" t="s">
        <v>107</v>
      </c>
      <c r="AD5" s="13" t="s">
        <v>60</v>
      </c>
      <c r="AE5" s="13" t="s">
        <v>107</v>
      </c>
      <c r="AF5" s="13" t="s">
        <v>60</v>
      </c>
      <c r="AG5" s="13" t="s">
        <v>107</v>
      </c>
      <c r="AH5" s="13" t="s">
        <v>60</v>
      </c>
      <c r="AI5" s="13" t="s">
        <v>107</v>
      </c>
      <c r="AJ5" s="13" t="s">
        <v>60</v>
      </c>
      <c r="AK5" s="13" t="s">
        <v>107</v>
      </c>
      <c r="AL5" s="32"/>
      <c r="AM5" s="42"/>
      <c r="AN5" s="44"/>
      <c r="AO5" s="58"/>
      <c r="AP5" s="58"/>
      <c r="AQ5" s="58"/>
      <c r="AR5" s="58"/>
      <c r="AS5" s="60"/>
      <c r="AT5" s="44"/>
      <c r="AU5" s="58"/>
      <c r="AV5" s="58"/>
      <c r="AW5" s="60"/>
      <c r="AX5" s="32"/>
      <c r="AY5" s="34"/>
      <c r="AZ5" s="42"/>
      <c r="BA5" s="44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60"/>
      <c r="BM5" s="32"/>
      <c r="BN5" s="42"/>
      <c r="BO5" s="39"/>
    </row>
    <row r="6" spans="1:67" ht="15.75">
      <c r="A6" s="7" t="s">
        <v>120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2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0">
        <v>0</v>
      </c>
      <c r="AL6" s="22">
        <v>0</v>
      </c>
      <c r="AM6" s="20">
        <v>0</v>
      </c>
      <c r="AN6" s="22">
        <v>0</v>
      </c>
      <c r="AO6" s="21">
        <v>0</v>
      </c>
      <c r="AP6" s="21">
        <v>0</v>
      </c>
      <c r="AQ6" s="21">
        <v>0</v>
      </c>
      <c r="AR6" s="21">
        <v>0</v>
      </c>
      <c r="AS6" s="20">
        <v>0</v>
      </c>
      <c r="AT6" s="22">
        <v>0</v>
      </c>
      <c r="AU6" s="21">
        <v>0</v>
      </c>
      <c r="AV6" s="21">
        <v>0</v>
      </c>
      <c r="AW6" s="20">
        <v>0</v>
      </c>
      <c r="AX6" s="22">
        <v>1</v>
      </c>
      <c r="AY6" s="21">
        <v>262</v>
      </c>
      <c r="AZ6" s="20">
        <v>607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1</v>
      </c>
      <c r="BK6" s="14">
        <v>0</v>
      </c>
      <c r="BL6" s="14">
        <v>0</v>
      </c>
      <c r="BM6" s="17">
        <v>0</v>
      </c>
      <c r="BN6" s="18">
        <v>0</v>
      </c>
      <c r="BO6" s="8" t="s">
        <v>6</v>
      </c>
    </row>
    <row r="7" spans="1:67" ht="15.75">
      <c r="A7" s="8" t="s">
        <v>121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5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3">
        <v>0</v>
      </c>
      <c r="AL7" s="25">
        <v>0</v>
      </c>
      <c r="AM7" s="23">
        <v>0</v>
      </c>
      <c r="AN7" s="25">
        <v>0</v>
      </c>
      <c r="AO7" s="24">
        <v>0</v>
      </c>
      <c r="AP7" s="24">
        <v>0</v>
      </c>
      <c r="AQ7" s="24">
        <v>0</v>
      </c>
      <c r="AR7" s="24">
        <v>0</v>
      </c>
      <c r="AS7" s="23">
        <v>0</v>
      </c>
      <c r="AT7" s="25">
        <v>0</v>
      </c>
      <c r="AU7" s="24">
        <v>0</v>
      </c>
      <c r="AV7" s="24">
        <v>0</v>
      </c>
      <c r="AW7" s="23">
        <v>0</v>
      </c>
      <c r="AX7" s="25">
        <v>1</v>
      </c>
      <c r="AY7" s="24">
        <v>685</v>
      </c>
      <c r="AZ7" s="23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>
        <v>1</v>
      </c>
      <c r="BJ7" s="14">
        <v>1</v>
      </c>
      <c r="BK7" s="14">
        <v>0</v>
      </c>
      <c r="BL7" s="15">
        <v>0</v>
      </c>
      <c r="BM7" s="17">
        <v>0</v>
      </c>
      <c r="BN7" s="18">
        <v>0</v>
      </c>
      <c r="BO7" s="8" t="s">
        <v>6</v>
      </c>
    </row>
    <row r="8" spans="1:67" ht="15.75">
      <c r="A8" s="8" t="s">
        <v>122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5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3">
        <v>0</v>
      </c>
      <c r="AL8" s="25">
        <v>0</v>
      </c>
      <c r="AM8" s="23">
        <v>0</v>
      </c>
      <c r="AN8" s="25">
        <v>0</v>
      </c>
      <c r="AO8" s="24">
        <v>0</v>
      </c>
      <c r="AP8" s="24">
        <v>0</v>
      </c>
      <c r="AQ8" s="24">
        <v>0</v>
      </c>
      <c r="AR8" s="24">
        <v>0</v>
      </c>
      <c r="AS8" s="23">
        <v>0</v>
      </c>
      <c r="AT8" s="25">
        <v>0</v>
      </c>
      <c r="AU8" s="24">
        <v>0</v>
      </c>
      <c r="AV8" s="24">
        <v>0</v>
      </c>
      <c r="AW8" s="23">
        <v>0</v>
      </c>
      <c r="AX8" s="25">
        <v>1</v>
      </c>
      <c r="AY8" s="24">
        <v>648</v>
      </c>
      <c r="AZ8" s="23">
        <v>4334</v>
      </c>
      <c r="BA8" s="14">
        <v>1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14">
        <v>0</v>
      </c>
      <c r="BH8" s="14">
        <v>0</v>
      </c>
      <c r="BI8" s="14">
        <v>1</v>
      </c>
      <c r="BJ8" s="14">
        <v>1</v>
      </c>
      <c r="BK8" s="14">
        <v>0</v>
      </c>
      <c r="BL8" s="15">
        <v>0</v>
      </c>
      <c r="BM8" s="17">
        <v>0</v>
      </c>
      <c r="BN8" s="18">
        <v>0</v>
      </c>
      <c r="BO8" s="8" t="s">
        <v>6</v>
      </c>
    </row>
    <row r="9" spans="1:67" ht="15.75">
      <c r="A9" s="8" t="s">
        <v>6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5">
        <v>3</v>
      </c>
      <c r="S9" s="24">
        <v>25000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3</v>
      </c>
      <c r="AG9" s="24">
        <v>3000</v>
      </c>
      <c r="AH9" s="24">
        <v>0</v>
      </c>
      <c r="AI9" s="24">
        <v>0</v>
      </c>
      <c r="AJ9" s="24">
        <v>0</v>
      </c>
      <c r="AK9" s="24">
        <v>0</v>
      </c>
      <c r="AL9" s="25">
        <v>0</v>
      </c>
      <c r="AM9" s="23">
        <v>0</v>
      </c>
      <c r="AN9" s="25">
        <v>0</v>
      </c>
      <c r="AO9" s="24">
        <v>0</v>
      </c>
      <c r="AP9" s="24">
        <v>0</v>
      </c>
      <c r="AQ9" s="24">
        <v>0</v>
      </c>
      <c r="AR9" s="24">
        <v>0</v>
      </c>
      <c r="AS9" s="23">
        <v>0</v>
      </c>
      <c r="AT9" s="25">
        <v>0</v>
      </c>
      <c r="AU9" s="24">
        <v>0</v>
      </c>
      <c r="AV9" s="24">
        <v>0</v>
      </c>
      <c r="AW9" s="23">
        <v>8</v>
      </c>
      <c r="AX9" s="25">
        <v>4</v>
      </c>
      <c r="AY9" s="24">
        <v>3020</v>
      </c>
      <c r="AZ9" s="23">
        <f>4935+20000+5000+750</f>
        <v>30685</v>
      </c>
      <c r="BA9" s="14">
        <v>0</v>
      </c>
      <c r="BB9" s="14">
        <v>0</v>
      </c>
      <c r="BC9" s="14">
        <v>2</v>
      </c>
      <c r="BD9" s="14">
        <v>2</v>
      </c>
      <c r="BE9" s="14">
        <v>2</v>
      </c>
      <c r="BF9" s="14">
        <v>0</v>
      </c>
      <c r="BG9" s="14">
        <v>0</v>
      </c>
      <c r="BH9" s="14">
        <v>2</v>
      </c>
      <c r="BI9" s="14">
        <v>3</v>
      </c>
      <c r="BJ9" s="14">
        <v>2</v>
      </c>
      <c r="BK9" s="14">
        <v>0</v>
      </c>
      <c r="BL9" s="14">
        <v>1</v>
      </c>
      <c r="BM9" s="17">
        <v>0</v>
      </c>
      <c r="BN9" s="18">
        <v>1</v>
      </c>
      <c r="BO9" s="8" t="s">
        <v>6</v>
      </c>
    </row>
    <row r="10" spans="1:67" ht="15.75">
      <c r="A10" s="8" t="s">
        <v>123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5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3">
        <v>0</v>
      </c>
      <c r="AL10" s="25">
        <v>0</v>
      </c>
      <c r="AM10" s="23">
        <v>0</v>
      </c>
      <c r="AN10" s="25">
        <v>0</v>
      </c>
      <c r="AO10" s="24">
        <v>0</v>
      </c>
      <c r="AP10" s="24">
        <v>0</v>
      </c>
      <c r="AQ10" s="24">
        <v>0</v>
      </c>
      <c r="AR10" s="24">
        <v>0</v>
      </c>
      <c r="AS10" s="23">
        <v>0</v>
      </c>
      <c r="AT10" s="25">
        <v>0</v>
      </c>
      <c r="AU10" s="24">
        <v>0</v>
      </c>
      <c r="AV10" s="24">
        <v>0</v>
      </c>
      <c r="AW10" s="23">
        <v>0</v>
      </c>
      <c r="AX10" s="25">
        <v>1</v>
      </c>
      <c r="AY10" s="24">
        <v>3872</v>
      </c>
      <c r="AZ10" s="23">
        <v>23232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1</v>
      </c>
      <c r="BK10" s="14">
        <v>0</v>
      </c>
      <c r="BL10" s="14">
        <v>0</v>
      </c>
      <c r="BM10" s="17">
        <v>0</v>
      </c>
      <c r="BN10" s="18">
        <v>0</v>
      </c>
      <c r="BO10" s="8" t="s">
        <v>6</v>
      </c>
    </row>
    <row r="11" spans="1:69" ht="15.75">
      <c r="A11" s="8" t="s">
        <v>124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5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3">
        <v>0</v>
      </c>
      <c r="AL11" s="25">
        <v>0</v>
      </c>
      <c r="AM11" s="23">
        <v>0</v>
      </c>
      <c r="AN11" s="25">
        <v>0</v>
      </c>
      <c r="AO11" s="24">
        <v>0</v>
      </c>
      <c r="AP11" s="24">
        <v>0</v>
      </c>
      <c r="AQ11" s="24">
        <v>0</v>
      </c>
      <c r="AR11" s="24">
        <v>0</v>
      </c>
      <c r="AS11" s="23">
        <v>0</v>
      </c>
      <c r="AT11" s="25">
        <v>0</v>
      </c>
      <c r="AU11" s="24">
        <v>0</v>
      </c>
      <c r="AV11" s="24">
        <v>0</v>
      </c>
      <c r="AW11" s="23">
        <v>0</v>
      </c>
      <c r="AX11" s="25">
        <v>1</v>
      </c>
      <c r="AY11" s="24">
        <v>50</v>
      </c>
      <c r="AZ11" s="23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1</v>
      </c>
      <c r="BK11" s="14">
        <v>0</v>
      </c>
      <c r="BL11" s="14">
        <v>0</v>
      </c>
      <c r="BM11" s="17">
        <v>0</v>
      </c>
      <c r="BN11" s="18">
        <v>0</v>
      </c>
      <c r="BO11" s="8" t="s">
        <v>6</v>
      </c>
      <c r="BQ11" s="26"/>
    </row>
    <row r="12" spans="1:67" ht="15.75">
      <c r="A12" s="8" t="s">
        <v>125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5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3">
        <v>0</v>
      </c>
      <c r="AL12" s="25">
        <v>0</v>
      </c>
      <c r="AM12" s="23">
        <v>0</v>
      </c>
      <c r="AN12" s="25">
        <v>0</v>
      </c>
      <c r="AO12" s="24">
        <v>0</v>
      </c>
      <c r="AP12" s="24">
        <v>0</v>
      </c>
      <c r="AQ12" s="24">
        <v>0</v>
      </c>
      <c r="AR12" s="24">
        <v>0</v>
      </c>
      <c r="AS12" s="23">
        <v>0</v>
      </c>
      <c r="AT12" s="25">
        <v>0</v>
      </c>
      <c r="AU12" s="24">
        <v>0</v>
      </c>
      <c r="AV12" s="24">
        <v>0</v>
      </c>
      <c r="AW12" s="23">
        <v>0</v>
      </c>
      <c r="AX12" s="25">
        <v>1</v>
      </c>
      <c r="AY12" s="24" t="s">
        <v>115</v>
      </c>
      <c r="AZ12" s="23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1</v>
      </c>
      <c r="BK12" s="14">
        <v>0</v>
      </c>
      <c r="BL12" s="14">
        <v>0</v>
      </c>
      <c r="BM12" s="17">
        <v>0</v>
      </c>
      <c r="BN12" s="18">
        <v>0</v>
      </c>
      <c r="BO12" s="8" t="s">
        <v>6</v>
      </c>
    </row>
    <row r="13" spans="1:67" ht="15.75">
      <c r="A13" s="8" t="s">
        <v>126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5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3">
        <v>0</v>
      </c>
      <c r="AL13" s="25">
        <v>0</v>
      </c>
      <c r="AM13" s="23">
        <v>0</v>
      </c>
      <c r="AN13" s="25">
        <v>0</v>
      </c>
      <c r="AO13" s="24">
        <v>0</v>
      </c>
      <c r="AP13" s="24">
        <v>0</v>
      </c>
      <c r="AQ13" s="24">
        <v>0</v>
      </c>
      <c r="AR13" s="24">
        <v>0</v>
      </c>
      <c r="AS13" s="23">
        <v>0</v>
      </c>
      <c r="AT13" s="25">
        <v>0</v>
      </c>
      <c r="AU13" s="24">
        <v>0</v>
      </c>
      <c r="AV13" s="24">
        <v>0</v>
      </c>
      <c r="AW13" s="23">
        <v>0</v>
      </c>
      <c r="AX13" s="25">
        <v>1</v>
      </c>
      <c r="AY13" s="24">
        <v>315</v>
      </c>
      <c r="AZ13" s="23">
        <v>950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1</v>
      </c>
      <c r="BK13" s="14">
        <v>0</v>
      </c>
      <c r="BL13" s="14">
        <v>0</v>
      </c>
      <c r="BM13" s="17">
        <v>0</v>
      </c>
      <c r="BN13" s="18">
        <v>0</v>
      </c>
      <c r="BO13" s="8" t="s">
        <v>6</v>
      </c>
    </row>
    <row r="14" spans="1:67" ht="15.75">
      <c r="A14" s="8" t="s">
        <v>127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5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3">
        <v>0</v>
      </c>
      <c r="AL14" s="25">
        <v>0</v>
      </c>
      <c r="AM14" s="23">
        <v>0</v>
      </c>
      <c r="AN14" s="25">
        <v>0</v>
      </c>
      <c r="AO14" s="24">
        <v>0</v>
      </c>
      <c r="AP14" s="24">
        <v>0</v>
      </c>
      <c r="AQ14" s="24">
        <v>0</v>
      </c>
      <c r="AR14" s="24">
        <v>0</v>
      </c>
      <c r="AS14" s="23">
        <v>0</v>
      </c>
      <c r="AT14" s="25">
        <v>0</v>
      </c>
      <c r="AU14" s="24">
        <v>0</v>
      </c>
      <c r="AV14" s="24">
        <v>0</v>
      </c>
      <c r="AW14" s="23">
        <v>0</v>
      </c>
      <c r="AX14" s="25">
        <v>1</v>
      </c>
      <c r="AY14" s="24">
        <v>282</v>
      </c>
      <c r="AZ14" s="23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1</v>
      </c>
      <c r="BK14" s="14">
        <v>0</v>
      </c>
      <c r="BL14" s="14">
        <v>0</v>
      </c>
      <c r="BM14" s="17">
        <v>0</v>
      </c>
      <c r="BN14" s="18">
        <v>0</v>
      </c>
      <c r="BO14" s="8" t="s">
        <v>6</v>
      </c>
    </row>
    <row r="15" spans="1:67" ht="15.75">
      <c r="A15" s="8" t="s">
        <v>128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5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3">
        <v>0</v>
      </c>
      <c r="AL15" s="25">
        <v>0</v>
      </c>
      <c r="AM15" s="23">
        <v>0</v>
      </c>
      <c r="AN15" s="25">
        <v>0</v>
      </c>
      <c r="AO15" s="24">
        <v>0</v>
      </c>
      <c r="AP15" s="24">
        <v>0</v>
      </c>
      <c r="AQ15" s="24">
        <v>0</v>
      </c>
      <c r="AR15" s="24">
        <v>0</v>
      </c>
      <c r="AS15" s="23">
        <v>0</v>
      </c>
      <c r="AT15" s="25">
        <v>0</v>
      </c>
      <c r="AU15" s="24">
        <v>0</v>
      </c>
      <c r="AV15" s="24">
        <v>0</v>
      </c>
      <c r="AW15" s="23">
        <v>0</v>
      </c>
      <c r="AX15" s="25">
        <v>1</v>
      </c>
      <c r="AY15" s="24">
        <v>265</v>
      </c>
      <c r="AZ15" s="23">
        <v>790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1</v>
      </c>
      <c r="BK15" s="14">
        <v>0</v>
      </c>
      <c r="BL15" s="14">
        <v>0</v>
      </c>
      <c r="BM15" s="17">
        <v>0</v>
      </c>
      <c r="BN15" s="18">
        <v>0</v>
      </c>
      <c r="BO15" s="8" t="s">
        <v>6</v>
      </c>
    </row>
    <row r="16" spans="1:67" ht="15.75">
      <c r="A16" s="8" t="s">
        <v>129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5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3">
        <v>0</v>
      </c>
      <c r="AL16" s="25">
        <v>0</v>
      </c>
      <c r="AM16" s="23">
        <v>0</v>
      </c>
      <c r="AN16" s="25">
        <v>0</v>
      </c>
      <c r="AO16" s="24">
        <v>0</v>
      </c>
      <c r="AP16" s="24">
        <v>0</v>
      </c>
      <c r="AQ16" s="24">
        <v>0</v>
      </c>
      <c r="AR16" s="24">
        <v>0</v>
      </c>
      <c r="AS16" s="23">
        <v>0</v>
      </c>
      <c r="AT16" s="25">
        <v>0</v>
      </c>
      <c r="AU16" s="24">
        <v>0</v>
      </c>
      <c r="AV16" s="24">
        <v>0</v>
      </c>
      <c r="AW16" s="23">
        <v>0</v>
      </c>
      <c r="AX16" s="25">
        <v>2</v>
      </c>
      <c r="AY16" s="24">
        <f>400+500</f>
        <v>900</v>
      </c>
      <c r="AZ16" s="23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1</v>
      </c>
      <c r="BJ16" s="14">
        <v>2</v>
      </c>
      <c r="BK16" s="14">
        <v>0</v>
      </c>
      <c r="BL16" s="14">
        <v>1</v>
      </c>
      <c r="BM16" s="17">
        <v>0</v>
      </c>
      <c r="BN16" s="18">
        <v>0</v>
      </c>
      <c r="BO16" s="8" t="s">
        <v>6</v>
      </c>
    </row>
    <row r="17" spans="1:67" ht="15.75">
      <c r="A17" s="8" t="s">
        <v>130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5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3">
        <v>0</v>
      </c>
      <c r="AL17" s="25">
        <v>0</v>
      </c>
      <c r="AM17" s="23">
        <v>0</v>
      </c>
      <c r="AN17" s="25">
        <v>0</v>
      </c>
      <c r="AO17" s="24">
        <v>0</v>
      </c>
      <c r="AP17" s="24">
        <v>0</v>
      </c>
      <c r="AQ17" s="24">
        <v>0</v>
      </c>
      <c r="AR17" s="24">
        <v>0</v>
      </c>
      <c r="AS17" s="23">
        <v>0</v>
      </c>
      <c r="AT17" s="25">
        <v>0</v>
      </c>
      <c r="AU17" s="24">
        <v>0</v>
      </c>
      <c r="AV17" s="24">
        <v>0</v>
      </c>
      <c r="AW17" s="23">
        <v>0</v>
      </c>
      <c r="AX17" s="25">
        <v>1</v>
      </c>
      <c r="AY17" s="24">
        <v>250</v>
      </c>
      <c r="AZ17" s="23">
        <v>875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1</v>
      </c>
      <c r="BK17" s="14">
        <v>0</v>
      </c>
      <c r="BL17" s="14">
        <v>0</v>
      </c>
      <c r="BM17" s="17">
        <v>0</v>
      </c>
      <c r="BN17" s="18">
        <v>0</v>
      </c>
      <c r="BO17" s="8" t="s">
        <v>6</v>
      </c>
    </row>
    <row r="18" spans="1:67" ht="15.75">
      <c r="A18" s="8" t="s">
        <v>131</v>
      </c>
      <c r="B18" s="24">
        <v>0</v>
      </c>
      <c r="C18" s="24">
        <v>0</v>
      </c>
      <c r="D18" s="24">
        <v>1</v>
      </c>
      <c r="E18" s="24">
        <v>2700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5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3">
        <v>0</v>
      </c>
      <c r="AL18" s="25">
        <v>0</v>
      </c>
      <c r="AM18" s="23">
        <v>0</v>
      </c>
      <c r="AN18" s="25">
        <v>0</v>
      </c>
      <c r="AO18" s="24">
        <v>0</v>
      </c>
      <c r="AP18" s="24">
        <v>0</v>
      </c>
      <c r="AQ18" s="24">
        <v>0</v>
      </c>
      <c r="AR18" s="24">
        <v>0</v>
      </c>
      <c r="AS18" s="23">
        <v>0</v>
      </c>
      <c r="AT18" s="25">
        <v>2</v>
      </c>
      <c r="AU18" s="24">
        <v>0</v>
      </c>
      <c r="AV18" s="24">
        <v>0</v>
      </c>
      <c r="AW18" s="23">
        <v>0</v>
      </c>
      <c r="AX18" s="25">
        <v>1</v>
      </c>
      <c r="AY18" s="24">
        <v>1017</v>
      </c>
      <c r="AZ18" s="23">
        <v>1755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1</v>
      </c>
      <c r="BJ18" s="14">
        <v>1</v>
      </c>
      <c r="BK18" s="14">
        <v>0</v>
      </c>
      <c r="BL18" s="14">
        <v>0</v>
      </c>
      <c r="BM18" s="17">
        <v>0</v>
      </c>
      <c r="BN18" s="18">
        <v>0</v>
      </c>
      <c r="BO18" s="8" t="s">
        <v>7</v>
      </c>
    </row>
    <row r="19" spans="1:67" ht="15.75">
      <c r="A19" s="8" t="s">
        <v>132</v>
      </c>
      <c r="B19" s="24">
        <v>0</v>
      </c>
      <c r="C19" s="24">
        <v>0</v>
      </c>
      <c r="D19" s="24">
        <v>1</v>
      </c>
      <c r="E19" s="24">
        <v>5000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5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3">
        <v>0</v>
      </c>
      <c r="AL19" s="25">
        <v>0</v>
      </c>
      <c r="AM19" s="23">
        <v>0</v>
      </c>
      <c r="AN19" s="25">
        <v>0</v>
      </c>
      <c r="AO19" s="24">
        <v>0</v>
      </c>
      <c r="AP19" s="24">
        <v>0</v>
      </c>
      <c r="AQ19" s="24">
        <v>0</v>
      </c>
      <c r="AR19" s="24">
        <v>0</v>
      </c>
      <c r="AS19" s="23">
        <v>0</v>
      </c>
      <c r="AT19" s="25">
        <v>0</v>
      </c>
      <c r="AU19" s="24">
        <v>0</v>
      </c>
      <c r="AV19" s="24">
        <v>0</v>
      </c>
      <c r="AW19" s="23">
        <v>0</v>
      </c>
      <c r="AX19" s="25">
        <v>3</v>
      </c>
      <c r="AY19" s="24">
        <f>2714+70+40</f>
        <v>2824</v>
      </c>
      <c r="AZ19" s="23">
        <f>21700+180+120</f>
        <v>22000</v>
      </c>
      <c r="BA19" s="14">
        <v>1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1</v>
      </c>
      <c r="BJ19" s="14">
        <v>1</v>
      </c>
      <c r="BK19" s="14">
        <v>0</v>
      </c>
      <c r="BL19" s="14">
        <v>0</v>
      </c>
      <c r="BM19" s="17">
        <v>0</v>
      </c>
      <c r="BN19" s="18">
        <v>0</v>
      </c>
      <c r="BO19" s="8" t="s">
        <v>7</v>
      </c>
    </row>
    <row r="20" spans="1:67" ht="15.75">
      <c r="A20" s="8" t="s">
        <v>133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5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3">
        <v>0</v>
      </c>
      <c r="AL20" s="25">
        <v>0</v>
      </c>
      <c r="AM20" s="23">
        <v>0</v>
      </c>
      <c r="AN20" s="25">
        <v>0</v>
      </c>
      <c r="AO20" s="24">
        <v>0</v>
      </c>
      <c r="AP20" s="24">
        <v>0</v>
      </c>
      <c r="AQ20" s="24">
        <v>0</v>
      </c>
      <c r="AR20" s="24">
        <v>0</v>
      </c>
      <c r="AS20" s="23">
        <v>0</v>
      </c>
      <c r="AT20" s="25">
        <v>1</v>
      </c>
      <c r="AU20" s="24">
        <v>0</v>
      </c>
      <c r="AV20" s="24">
        <v>0</v>
      </c>
      <c r="AW20" s="23">
        <v>2</v>
      </c>
      <c r="AX20" s="25">
        <v>1</v>
      </c>
      <c r="AY20" s="24">
        <v>120</v>
      </c>
      <c r="AZ20" s="23">
        <v>360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1</v>
      </c>
      <c r="BJ20" s="14">
        <v>1</v>
      </c>
      <c r="BK20" s="14">
        <v>0</v>
      </c>
      <c r="BL20" s="14">
        <v>0</v>
      </c>
      <c r="BM20" s="17">
        <v>0</v>
      </c>
      <c r="BN20" s="18">
        <v>0</v>
      </c>
      <c r="BO20" s="8" t="s">
        <v>7</v>
      </c>
    </row>
    <row r="21" spans="1:67" ht="15.75">
      <c r="A21" s="8" t="s">
        <v>134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5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3">
        <v>0</v>
      </c>
      <c r="AL21" s="25">
        <v>0</v>
      </c>
      <c r="AM21" s="23">
        <v>0</v>
      </c>
      <c r="AN21" s="25">
        <v>0</v>
      </c>
      <c r="AO21" s="24">
        <v>0</v>
      </c>
      <c r="AP21" s="24">
        <v>0</v>
      </c>
      <c r="AQ21" s="24">
        <v>0</v>
      </c>
      <c r="AR21" s="24">
        <v>0</v>
      </c>
      <c r="AS21" s="23">
        <v>0</v>
      </c>
      <c r="AT21" s="25">
        <v>0</v>
      </c>
      <c r="AU21" s="24">
        <v>0</v>
      </c>
      <c r="AV21" s="24">
        <v>0</v>
      </c>
      <c r="AW21" s="23">
        <v>0</v>
      </c>
      <c r="AX21" s="25">
        <v>1</v>
      </c>
      <c r="AY21" s="24">
        <v>1870</v>
      </c>
      <c r="AZ21" s="23">
        <v>1950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1</v>
      </c>
      <c r="BJ21" s="14">
        <v>1</v>
      </c>
      <c r="BK21" s="14">
        <v>0</v>
      </c>
      <c r="BL21" s="14">
        <v>0</v>
      </c>
      <c r="BM21" s="17">
        <v>0</v>
      </c>
      <c r="BN21" s="18">
        <v>0</v>
      </c>
      <c r="BO21" s="8" t="s">
        <v>7</v>
      </c>
    </row>
    <row r="22" spans="1:67" ht="15.75">
      <c r="A22" s="8" t="s">
        <v>135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5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3">
        <v>0</v>
      </c>
      <c r="AL22" s="25">
        <v>0</v>
      </c>
      <c r="AM22" s="23">
        <v>0</v>
      </c>
      <c r="AN22" s="25">
        <v>0</v>
      </c>
      <c r="AO22" s="24">
        <v>0</v>
      </c>
      <c r="AP22" s="24">
        <v>0</v>
      </c>
      <c r="AQ22" s="24">
        <v>0</v>
      </c>
      <c r="AR22" s="24">
        <v>0</v>
      </c>
      <c r="AS22" s="23">
        <v>0</v>
      </c>
      <c r="AT22" s="25">
        <v>0</v>
      </c>
      <c r="AU22" s="24">
        <v>0</v>
      </c>
      <c r="AV22" s="24">
        <v>0</v>
      </c>
      <c r="AW22" s="23">
        <v>0</v>
      </c>
      <c r="AX22" s="25">
        <v>3</v>
      </c>
      <c r="AY22" s="24">
        <f>50+50</f>
        <v>100</v>
      </c>
      <c r="AZ22" s="23" t="s">
        <v>115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1</v>
      </c>
      <c r="BJ22" s="14">
        <v>1</v>
      </c>
      <c r="BK22" s="14">
        <v>0</v>
      </c>
      <c r="BL22" s="14">
        <v>0</v>
      </c>
      <c r="BM22" s="17">
        <v>0</v>
      </c>
      <c r="BN22" s="18">
        <v>0</v>
      </c>
      <c r="BO22" s="8" t="s">
        <v>7</v>
      </c>
    </row>
    <row r="23" spans="1:67" ht="15.75">
      <c r="A23" s="8" t="s">
        <v>136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5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3">
        <v>0</v>
      </c>
      <c r="AL23" s="25">
        <v>0</v>
      </c>
      <c r="AM23" s="23">
        <v>0</v>
      </c>
      <c r="AN23" s="25">
        <v>0</v>
      </c>
      <c r="AO23" s="24">
        <v>0</v>
      </c>
      <c r="AP23" s="24">
        <v>0</v>
      </c>
      <c r="AQ23" s="24">
        <v>0</v>
      </c>
      <c r="AR23" s="24">
        <v>0</v>
      </c>
      <c r="AS23" s="23">
        <v>0</v>
      </c>
      <c r="AT23" s="25">
        <v>3</v>
      </c>
      <c r="AU23" s="24">
        <v>0</v>
      </c>
      <c r="AV23" s="24">
        <v>0</v>
      </c>
      <c r="AW23" s="23">
        <v>1</v>
      </c>
      <c r="AX23" s="25">
        <v>1</v>
      </c>
      <c r="AY23" s="24" t="s">
        <v>115</v>
      </c>
      <c r="AZ23" s="23">
        <v>1200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1</v>
      </c>
      <c r="BJ23" s="14">
        <v>1</v>
      </c>
      <c r="BK23" s="14">
        <v>0</v>
      </c>
      <c r="BL23" s="14">
        <v>0</v>
      </c>
      <c r="BM23" s="17">
        <v>0</v>
      </c>
      <c r="BN23" s="18">
        <v>0</v>
      </c>
      <c r="BO23" s="8" t="s">
        <v>7</v>
      </c>
    </row>
    <row r="24" spans="1:67" ht="15.75">
      <c r="A24" s="8" t="s">
        <v>7</v>
      </c>
      <c r="B24" s="24">
        <v>1</v>
      </c>
      <c r="C24" s="24">
        <v>8500</v>
      </c>
      <c r="D24" s="24">
        <v>1</v>
      </c>
      <c r="E24" s="24">
        <v>16000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1</v>
      </c>
      <c r="O24" s="24">
        <v>200</v>
      </c>
      <c r="P24" s="24">
        <v>1</v>
      </c>
      <c r="Q24" s="24">
        <v>1000</v>
      </c>
      <c r="R24" s="25" t="s">
        <v>115</v>
      </c>
      <c r="S24" s="24">
        <v>465000</v>
      </c>
      <c r="T24" s="24" t="s">
        <v>115</v>
      </c>
      <c r="U24" s="24">
        <v>70000</v>
      </c>
      <c r="V24" s="24">
        <v>0</v>
      </c>
      <c r="W24" s="24">
        <v>27</v>
      </c>
      <c r="X24" s="24">
        <v>20000</v>
      </c>
      <c r="Y24" s="24">
        <v>0</v>
      </c>
      <c r="Z24" s="24">
        <v>1</v>
      </c>
      <c r="AA24" s="24">
        <v>31000</v>
      </c>
      <c r="AB24" s="24">
        <v>0</v>
      </c>
      <c r="AC24" s="24">
        <v>0</v>
      </c>
      <c r="AD24" s="24">
        <v>1</v>
      </c>
      <c r="AE24" s="24">
        <v>50000</v>
      </c>
      <c r="AF24" s="24">
        <v>2</v>
      </c>
      <c r="AG24" s="24">
        <v>35000</v>
      </c>
      <c r="AH24" s="24">
        <v>0</v>
      </c>
      <c r="AI24" s="24">
        <v>0</v>
      </c>
      <c r="AJ24" s="24">
        <v>10</v>
      </c>
      <c r="AK24" s="23">
        <v>300000</v>
      </c>
      <c r="AL24" s="25">
        <v>1</v>
      </c>
      <c r="AM24" s="23">
        <v>5000</v>
      </c>
      <c r="AN24" s="25">
        <v>0</v>
      </c>
      <c r="AO24" s="24">
        <v>0</v>
      </c>
      <c r="AP24" s="24">
        <v>0</v>
      </c>
      <c r="AQ24" s="24">
        <v>0</v>
      </c>
      <c r="AR24" s="24">
        <v>0</v>
      </c>
      <c r="AS24" s="23">
        <v>0</v>
      </c>
      <c r="AT24" s="25">
        <v>5</v>
      </c>
      <c r="AU24" s="24">
        <v>6</v>
      </c>
      <c r="AV24" s="24" t="s">
        <v>115</v>
      </c>
      <c r="AW24" s="23" t="s">
        <v>115</v>
      </c>
      <c r="AX24" s="25">
        <v>26</v>
      </c>
      <c r="AY24" s="24">
        <f>60+100+100+186+240+465+180+450+450+345+600</f>
        <v>3176</v>
      </c>
      <c r="AZ24" s="23" t="s">
        <v>115</v>
      </c>
      <c r="BA24" s="14">
        <v>4</v>
      </c>
      <c r="BB24" s="14">
        <v>3</v>
      </c>
      <c r="BC24" s="14">
        <v>0</v>
      </c>
      <c r="BD24" s="14">
        <v>2</v>
      </c>
      <c r="BE24" s="14">
        <v>2</v>
      </c>
      <c r="BF24" s="14">
        <v>2</v>
      </c>
      <c r="BG24" s="14">
        <v>5</v>
      </c>
      <c r="BH24" s="14">
        <v>0</v>
      </c>
      <c r="BI24" s="14">
        <v>0</v>
      </c>
      <c r="BJ24" s="14">
        <v>2</v>
      </c>
      <c r="BK24" s="14">
        <v>0</v>
      </c>
      <c r="BL24" s="14">
        <v>0</v>
      </c>
      <c r="BM24" s="17">
        <v>3</v>
      </c>
      <c r="BN24" s="18">
        <v>11</v>
      </c>
      <c r="BO24" s="8" t="s">
        <v>7</v>
      </c>
    </row>
    <row r="25" spans="1:67" ht="15.75">
      <c r="A25" s="8" t="s">
        <v>137</v>
      </c>
      <c r="B25" s="24">
        <v>1</v>
      </c>
      <c r="C25" s="24">
        <v>5000</v>
      </c>
      <c r="D25" s="24">
        <v>1</v>
      </c>
      <c r="E25" s="24">
        <v>45000</v>
      </c>
      <c r="F25" s="24">
        <v>0</v>
      </c>
      <c r="G25" s="24">
        <v>0</v>
      </c>
      <c r="H25" s="24">
        <v>1</v>
      </c>
      <c r="I25" s="24">
        <v>200</v>
      </c>
      <c r="J25" s="24">
        <v>1</v>
      </c>
      <c r="K25" s="24" t="s">
        <v>115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5" t="s">
        <v>115</v>
      </c>
      <c r="S25" s="24">
        <v>345000</v>
      </c>
      <c r="T25" s="24" t="s">
        <v>115</v>
      </c>
      <c r="U25" s="24">
        <v>700000</v>
      </c>
      <c r="V25" s="24" t="s">
        <v>117</v>
      </c>
      <c r="W25" s="24">
        <v>0</v>
      </c>
      <c r="X25" s="24">
        <v>0</v>
      </c>
      <c r="Y25" s="24">
        <v>0</v>
      </c>
      <c r="Z25" s="24">
        <v>1</v>
      </c>
      <c r="AA25" s="24">
        <v>66000</v>
      </c>
      <c r="AB25" s="24">
        <v>1</v>
      </c>
      <c r="AC25" s="24">
        <v>100000</v>
      </c>
      <c r="AD25" s="24">
        <v>1</v>
      </c>
      <c r="AE25" s="24">
        <v>19500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3">
        <v>0</v>
      </c>
      <c r="AL25" s="25">
        <v>0</v>
      </c>
      <c r="AM25" s="23">
        <v>0</v>
      </c>
      <c r="AN25" s="25">
        <v>2</v>
      </c>
      <c r="AO25" s="24">
        <v>0</v>
      </c>
      <c r="AP25" s="24">
        <v>2</v>
      </c>
      <c r="AQ25" s="24">
        <v>90</v>
      </c>
      <c r="AR25" s="24">
        <v>9</v>
      </c>
      <c r="AS25" s="23">
        <v>0</v>
      </c>
      <c r="AT25" s="25">
        <v>2</v>
      </c>
      <c r="AU25" s="24">
        <v>1</v>
      </c>
      <c r="AV25" s="24" t="s">
        <v>115</v>
      </c>
      <c r="AW25" s="23" t="s">
        <v>115</v>
      </c>
      <c r="AX25" s="25">
        <v>14</v>
      </c>
      <c r="AY25" s="24">
        <f>160+450+325+210+150+220+235+291+128+393+131+274+175+162+260+242+150</f>
        <v>3956</v>
      </c>
      <c r="AZ25" s="23">
        <v>0</v>
      </c>
      <c r="BA25" s="14">
        <v>3</v>
      </c>
      <c r="BB25" s="14">
        <v>1</v>
      </c>
      <c r="BC25" s="14">
        <v>1</v>
      </c>
      <c r="BD25" s="14">
        <v>8</v>
      </c>
      <c r="BE25" s="14">
        <v>4</v>
      </c>
      <c r="BF25" s="14">
        <v>0</v>
      </c>
      <c r="BG25" s="14">
        <v>2</v>
      </c>
      <c r="BH25" s="14">
        <v>4</v>
      </c>
      <c r="BI25" s="14">
        <v>1</v>
      </c>
      <c r="BJ25" s="14">
        <v>9</v>
      </c>
      <c r="BK25" s="14">
        <v>1</v>
      </c>
      <c r="BL25" s="14">
        <v>0</v>
      </c>
      <c r="BM25" s="17">
        <v>10</v>
      </c>
      <c r="BN25" s="18">
        <v>16</v>
      </c>
      <c r="BO25" s="8" t="s">
        <v>7</v>
      </c>
    </row>
    <row r="26" spans="1:67" ht="15.75">
      <c r="A26" s="8" t="s">
        <v>138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5">
        <v>1</v>
      </c>
      <c r="S26" s="24">
        <v>10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3">
        <v>0</v>
      </c>
      <c r="AL26" s="25">
        <v>0</v>
      </c>
      <c r="AM26" s="23">
        <v>0</v>
      </c>
      <c r="AN26" s="25">
        <v>0</v>
      </c>
      <c r="AO26" s="24">
        <v>0</v>
      </c>
      <c r="AP26" s="24">
        <v>0</v>
      </c>
      <c r="AQ26" s="24">
        <v>0</v>
      </c>
      <c r="AR26" s="24">
        <v>0</v>
      </c>
      <c r="AS26" s="23">
        <v>0</v>
      </c>
      <c r="AT26" s="25">
        <v>1</v>
      </c>
      <c r="AU26" s="24">
        <v>0</v>
      </c>
      <c r="AV26" s="24">
        <v>0</v>
      </c>
      <c r="AW26" s="23">
        <v>0</v>
      </c>
      <c r="AX26" s="25">
        <v>0</v>
      </c>
      <c r="AY26" s="24">
        <v>0</v>
      </c>
      <c r="AZ26" s="23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7">
        <v>0</v>
      </c>
      <c r="BN26" s="18">
        <v>0</v>
      </c>
      <c r="BO26" s="8" t="s">
        <v>8</v>
      </c>
    </row>
    <row r="27" spans="1:67" ht="15.75">
      <c r="A27" s="8" t="s">
        <v>139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5">
        <v>1</v>
      </c>
      <c r="S27" s="24">
        <v>30000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3">
        <v>0</v>
      </c>
      <c r="AL27" s="25">
        <v>0</v>
      </c>
      <c r="AM27" s="23">
        <v>0</v>
      </c>
      <c r="AN27" s="25">
        <v>0</v>
      </c>
      <c r="AO27" s="24">
        <v>0</v>
      </c>
      <c r="AP27" s="24">
        <v>0</v>
      </c>
      <c r="AQ27" s="24">
        <v>0</v>
      </c>
      <c r="AR27" s="24">
        <v>0</v>
      </c>
      <c r="AS27" s="23">
        <v>0</v>
      </c>
      <c r="AT27" s="25">
        <v>0</v>
      </c>
      <c r="AU27" s="24">
        <v>0</v>
      </c>
      <c r="AV27" s="24">
        <v>0</v>
      </c>
      <c r="AW27" s="23">
        <v>0</v>
      </c>
      <c r="AX27" s="25">
        <v>1</v>
      </c>
      <c r="AY27" s="24">
        <v>830</v>
      </c>
      <c r="AZ27" s="23">
        <v>30000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1</v>
      </c>
      <c r="BJ27" s="14">
        <v>1</v>
      </c>
      <c r="BK27" s="14">
        <v>0</v>
      </c>
      <c r="BL27" s="14">
        <v>0</v>
      </c>
      <c r="BM27" s="17">
        <v>0</v>
      </c>
      <c r="BN27" s="18">
        <v>0</v>
      </c>
      <c r="BO27" s="8" t="s">
        <v>8</v>
      </c>
    </row>
    <row r="28" spans="1:67" ht="15.75">
      <c r="A28" s="8" t="s">
        <v>8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5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14000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3">
        <v>0</v>
      </c>
      <c r="AL28" s="25">
        <v>0</v>
      </c>
      <c r="AM28" s="23">
        <v>0</v>
      </c>
      <c r="AN28" s="25">
        <v>22</v>
      </c>
      <c r="AO28" s="24">
        <v>31</v>
      </c>
      <c r="AP28" s="24">
        <v>13</v>
      </c>
      <c r="AQ28" s="24">
        <v>111</v>
      </c>
      <c r="AR28" s="24">
        <v>56</v>
      </c>
      <c r="AS28" s="23">
        <v>0</v>
      </c>
      <c r="AT28" s="25">
        <v>0</v>
      </c>
      <c r="AU28" s="24">
        <v>0</v>
      </c>
      <c r="AV28" s="24">
        <v>0</v>
      </c>
      <c r="AW28" s="23">
        <v>0</v>
      </c>
      <c r="AX28" s="25">
        <v>84</v>
      </c>
      <c r="AY28" s="24">
        <f>390+210+266+295+259+227+250+249+277+370+200+170+235+211+192+370+290+140+430+200+90+288+221+140+280+297+55+210+144+335+216+180+142+215+230+526+160+280+330+340+390+190+264+190+120+224+140+390+150+391+130+395+150+150+390+400+150+390+160+400+130+400+359+155+407+306+332+520+400+378+295+290+336+351+320+160+150+1500</f>
        <v>21863</v>
      </c>
      <c r="AZ28" s="23">
        <f>7800+9500+13250+8800+3885+4000+2500+3500+6000+2500+2000+3000+15000+18000+14.5+10750+2500+3700+1000+9100+8500+1000+7650+7200+32000+26100+5568+7900+12500+3000+140000+46000+8400+19800+28000+26600+5700+30000+2850+52900+16800+27000+6500+24000+24000+12000+28000+24000+7500+29000+29000+9000+37500+30000+15000+60000+9500+40000+26250+20500+3800+795000</f>
        <v>1872817.5</v>
      </c>
      <c r="BA28" s="14">
        <v>16</v>
      </c>
      <c r="BB28" s="14">
        <v>7</v>
      </c>
      <c r="BC28" s="14">
        <v>6</v>
      </c>
      <c r="BD28" s="14">
        <v>9</v>
      </c>
      <c r="BE28" s="14">
        <v>10</v>
      </c>
      <c r="BF28" s="14">
        <v>10</v>
      </c>
      <c r="BG28" s="14">
        <v>26</v>
      </c>
      <c r="BH28" s="14">
        <v>0</v>
      </c>
      <c r="BI28" s="14">
        <v>0</v>
      </c>
      <c r="BJ28" s="14">
        <v>1</v>
      </c>
      <c r="BK28" s="14">
        <v>1</v>
      </c>
      <c r="BL28" s="14">
        <v>1</v>
      </c>
      <c r="BM28" s="17">
        <v>25</v>
      </c>
      <c r="BN28" s="18">
        <v>0</v>
      </c>
      <c r="BO28" s="8" t="s">
        <v>8</v>
      </c>
    </row>
    <row r="29" spans="1:67" ht="15.75">
      <c r="A29" s="8" t="s">
        <v>140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5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3">
        <v>0</v>
      </c>
      <c r="AL29" s="25">
        <v>0</v>
      </c>
      <c r="AM29" s="23">
        <v>0</v>
      </c>
      <c r="AN29" s="25">
        <v>0</v>
      </c>
      <c r="AO29" s="24">
        <v>0</v>
      </c>
      <c r="AP29" s="24">
        <v>0</v>
      </c>
      <c r="AQ29" s="24">
        <v>0</v>
      </c>
      <c r="AR29" s="24">
        <v>0</v>
      </c>
      <c r="AS29" s="23">
        <v>0</v>
      </c>
      <c r="AT29" s="25">
        <v>0</v>
      </c>
      <c r="AU29" s="24">
        <v>0</v>
      </c>
      <c r="AV29" s="24">
        <v>0</v>
      </c>
      <c r="AW29" s="23">
        <v>0</v>
      </c>
      <c r="AX29" s="25">
        <v>1</v>
      </c>
      <c r="AY29" s="24" t="s">
        <v>115</v>
      </c>
      <c r="AZ29" s="23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1</v>
      </c>
      <c r="BK29" s="14">
        <v>0</v>
      </c>
      <c r="BL29" s="14">
        <v>0</v>
      </c>
      <c r="BM29" s="17">
        <v>0</v>
      </c>
      <c r="BN29" s="18">
        <v>0</v>
      </c>
      <c r="BO29" s="8" t="s">
        <v>8</v>
      </c>
    </row>
    <row r="30" spans="1:67" ht="15.75">
      <c r="A30" s="8" t="s">
        <v>141</v>
      </c>
      <c r="B30" s="24">
        <v>0</v>
      </c>
      <c r="C30" s="24">
        <v>0</v>
      </c>
      <c r="D30" s="24">
        <v>1</v>
      </c>
      <c r="E30" s="24">
        <v>4000</v>
      </c>
      <c r="F30" s="24">
        <v>0</v>
      </c>
      <c r="G30" s="24">
        <v>0</v>
      </c>
      <c r="H30" s="24">
        <v>1</v>
      </c>
      <c r="I30" s="24">
        <v>4</v>
      </c>
      <c r="J30" s="24">
        <v>1</v>
      </c>
      <c r="K30" s="24">
        <v>40</v>
      </c>
      <c r="L30" s="24">
        <v>0</v>
      </c>
      <c r="M30" s="24">
        <v>0</v>
      </c>
      <c r="N30" s="24">
        <v>1</v>
      </c>
      <c r="O30" s="24">
        <v>40</v>
      </c>
      <c r="P30" s="24">
        <v>0</v>
      </c>
      <c r="Q30" s="24">
        <v>0</v>
      </c>
      <c r="R30" s="25">
        <v>1</v>
      </c>
      <c r="S30" s="24">
        <v>1214.84</v>
      </c>
      <c r="T30" s="24">
        <v>2</v>
      </c>
      <c r="U30" s="24">
        <v>20000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3">
        <v>0</v>
      </c>
      <c r="AL30" s="25">
        <v>0</v>
      </c>
      <c r="AM30" s="23">
        <v>0</v>
      </c>
      <c r="AN30" s="25">
        <v>0</v>
      </c>
      <c r="AO30" s="24">
        <v>0</v>
      </c>
      <c r="AP30" s="24">
        <v>0</v>
      </c>
      <c r="AQ30" s="24">
        <v>0</v>
      </c>
      <c r="AR30" s="24">
        <v>0</v>
      </c>
      <c r="AS30" s="23">
        <v>0</v>
      </c>
      <c r="AT30" s="25">
        <v>1</v>
      </c>
      <c r="AU30" s="24">
        <v>0</v>
      </c>
      <c r="AV30" s="24">
        <v>0</v>
      </c>
      <c r="AW30" s="23">
        <v>0</v>
      </c>
      <c r="AX30" s="25">
        <v>3</v>
      </c>
      <c r="AY30" s="24">
        <f>150+10+8</f>
        <v>168</v>
      </c>
      <c r="AZ30" s="23">
        <f>1050+10+10</f>
        <v>1070</v>
      </c>
      <c r="BA30" s="14">
        <v>3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1</v>
      </c>
      <c r="BK30" s="14">
        <v>0</v>
      </c>
      <c r="BL30" s="14">
        <v>0</v>
      </c>
      <c r="BM30" s="17">
        <v>0</v>
      </c>
      <c r="BN30" s="18">
        <v>0</v>
      </c>
      <c r="BO30" s="8" t="s">
        <v>8</v>
      </c>
    </row>
    <row r="31" spans="1:67" ht="15.75">
      <c r="A31" s="8" t="s">
        <v>142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5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3">
        <v>0</v>
      </c>
      <c r="AL31" s="25">
        <v>0</v>
      </c>
      <c r="AM31" s="23">
        <v>0</v>
      </c>
      <c r="AN31" s="25">
        <v>0</v>
      </c>
      <c r="AO31" s="24">
        <v>0</v>
      </c>
      <c r="AP31" s="24">
        <v>0</v>
      </c>
      <c r="AQ31" s="24">
        <v>0</v>
      </c>
      <c r="AR31" s="24">
        <v>0</v>
      </c>
      <c r="AS31" s="23">
        <v>0</v>
      </c>
      <c r="AT31" s="25">
        <v>2</v>
      </c>
      <c r="AU31" s="24">
        <v>0</v>
      </c>
      <c r="AV31" s="24">
        <v>0</v>
      </c>
      <c r="AW31" s="23">
        <v>0</v>
      </c>
      <c r="AX31" s="25">
        <v>2</v>
      </c>
      <c r="AY31" s="24">
        <f>1177+303.8</f>
        <v>1480.8</v>
      </c>
      <c r="AZ31" s="23">
        <f>5032+1995</f>
        <v>7027</v>
      </c>
      <c r="BA31" s="14">
        <v>2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1</v>
      </c>
      <c r="BH31" s="14">
        <v>0</v>
      </c>
      <c r="BI31" s="14">
        <v>0</v>
      </c>
      <c r="BJ31" s="14">
        <v>2</v>
      </c>
      <c r="BK31" s="14">
        <v>0</v>
      </c>
      <c r="BL31" s="14">
        <v>0</v>
      </c>
      <c r="BM31" s="17">
        <v>0</v>
      </c>
      <c r="BN31" s="18">
        <v>2</v>
      </c>
      <c r="BO31" s="8" t="s">
        <v>8</v>
      </c>
    </row>
    <row r="32" spans="1:67" ht="15.75">
      <c r="A32" s="8" t="s">
        <v>310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5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3">
        <v>0</v>
      </c>
      <c r="AL32" s="25">
        <v>0</v>
      </c>
      <c r="AM32" s="23">
        <v>0</v>
      </c>
      <c r="AN32" s="25">
        <v>0</v>
      </c>
      <c r="AO32" s="24">
        <v>0</v>
      </c>
      <c r="AP32" s="24">
        <v>0</v>
      </c>
      <c r="AQ32" s="24">
        <v>0</v>
      </c>
      <c r="AR32" s="24">
        <v>0</v>
      </c>
      <c r="AS32" s="23">
        <v>0</v>
      </c>
      <c r="AT32" s="25">
        <v>0</v>
      </c>
      <c r="AU32" s="24">
        <v>0</v>
      </c>
      <c r="AV32" s="24">
        <v>0</v>
      </c>
      <c r="AW32" s="23">
        <v>0</v>
      </c>
      <c r="AX32" s="25">
        <v>1</v>
      </c>
      <c r="AY32" s="24" t="s">
        <v>115</v>
      </c>
      <c r="AZ32" s="23">
        <v>0</v>
      </c>
      <c r="BA32" s="14">
        <v>1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7">
        <v>0</v>
      </c>
      <c r="BN32" s="18">
        <v>0</v>
      </c>
      <c r="BO32" s="8" t="s">
        <v>8</v>
      </c>
    </row>
    <row r="33" spans="1:67" ht="15.75">
      <c r="A33" s="8" t="s">
        <v>143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5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3">
        <v>0</v>
      </c>
      <c r="AL33" s="25">
        <v>0</v>
      </c>
      <c r="AM33" s="23">
        <v>0</v>
      </c>
      <c r="AN33" s="25">
        <v>0</v>
      </c>
      <c r="AO33" s="24">
        <v>0</v>
      </c>
      <c r="AP33" s="24">
        <v>0</v>
      </c>
      <c r="AQ33" s="24">
        <v>0</v>
      </c>
      <c r="AR33" s="24">
        <v>0</v>
      </c>
      <c r="AS33" s="23">
        <v>0</v>
      </c>
      <c r="AT33" s="25">
        <v>0</v>
      </c>
      <c r="AU33" s="24">
        <v>0</v>
      </c>
      <c r="AV33" s="24">
        <v>0</v>
      </c>
      <c r="AW33" s="23">
        <v>0</v>
      </c>
      <c r="AX33" s="25">
        <v>3</v>
      </c>
      <c r="AY33" s="24">
        <f>160+50+83</f>
        <v>293</v>
      </c>
      <c r="AZ33" s="23">
        <f>800+500+400</f>
        <v>1700</v>
      </c>
      <c r="BA33" s="14">
        <v>1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3</v>
      </c>
      <c r="BK33" s="14">
        <v>1</v>
      </c>
      <c r="BL33" s="14">
        <v>1</v>
      </c>
      <c r="BM33" s="17">
        <v>0</v>
      </c>
      <c r="BN33" s="18">
        <v>0</v>
      </c>
      <c r="BO33" s="8" t="s">
        <v>8</v>
      </c>
    </row>
    <row r="34" spans="1:67" ht="15.75">
      <c r="A34" s="8" t="s">
        <v>9</v>
      </c>
      <c r="B34" s="16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25">
        <v>7</v>
      </c>
      <c r="S34" s="24">
        <v>500000</v>
      </c>
      <c r="T34" s="14">
        <v>0</v>
      </c>
      <c r="U34" s="14">
        <v>0</v>
      </c>
      <c r="V34" s="24" t="s">
        <v>117</v>
      </c>
      <c r="W34" s="14">
        <v>0</v>
      </c>
      <c r="X34" s="14">
        <v>0</v>
      </c>
      <c r="Y34" s="24" t="s">
        <v>117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24">
        <v>24</v>
      </c>
      <c r="AG34" s="24">
        <v>53800</v>
      </c>
      <c r="AH34" s="14">
        <v>0</v>
      </c>
      <c r="AI34" s="14">
        <v>0</v>
      </c>
      <c r="AJ34" s="24">
        <v>6</v>
      </c>
      <c r="AK34" s="23">
        <v>77500</v>
      </c>
      <c r="AL34" s="25">
        <v>1</v>
      </c>
      <c r="AM34" s="23" t="s">
        <v>115</v>
      </c>
      <c r="AN34" s="25">
        <v>10</v>
      </c>
      <c r="AO34" s="24">
        <v>8</v>
      </c>
      <c r="AP34" s="24">
        <v>10</v>
      </c>
      <c r="AQ34" s="14">
        <v>0</v>
      </c>
      <c r="AR34" s="24">
        <v>30</v>
      </c>
      <c r="AS34" s="14">
        <v>0</v>
      </c>
      <c r="AT34" s="25">
        <v>13</v>
      </c>
      <c r="AU34" s="14">
        <v>0</v>
      </c>
      <c r="AV34" s="14">
        <v>0</v>
      </c>
      <c r="AW34" s="14">
        <v>0</v>
      </c>
      <c r="AX34" s="25">
        <v>21</v>
      </c>
      <c r="AY34" s="24">
        <f>460+210+520+410+315+520+465+265+300+50+510+465+370+550</f>
        <v>5410</v>
      </c>
      <c r="AZ34" s="23">
        <f>32400+12000+52000+30000+47500+85000+80000+45000+42500+3500+25000+105000+10000+5000</f>
        <v>574900</v>
      </c>
      <c r="BA34" s="14">
        <v>1</v>
      </c>
      <c r="BB34" s="14">
        <v>2</v>
      </c>
      <c r="BC34" s="14">
        <v>1</v>
      </c>
      <c r="BD34" s="14">
        <v>5</v>
      </c>
      <c r="BE34" s="14">
        <v>5</v>
      </c>
      <c r="BF34" s="14">
        <v>8</v>
      </c>
      <c r="BG34" s="14">
        <v>2</v>
      </c>
      <c r="BH34" s="14">
        <v>6</v>
      </c>
      <c r="BI34" s="14">
        <v>1</v>
      </c>
      <c r="BJ34" s="14">
        <v>8</v>
      </c>
      <c r="BK34" s="14">
        <v>1</v>
      </c>
      <c r="BL34" s="14">
        <v>0</v>
      </c>
      <c r="BM34" s="17">
        <v>8</v>
      </c>
      <c r="BN34" s="18">
        <v>6</v>
      </c>
      <c r="BO34" s="8" t="s">
        <v>9</v>
      </c>
    </row>
    <row r="35" spans="1:67" ht="15.75">
      <c r="A35" s="8" t="s">
        <v>144</v>
      </c>
      <c r="B35" s="16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6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5">
        <v>0</v>
      </c>
      <c r="AL35" s="16">
        <v>0</v>
      </c>
      <c r="AM35" s="14">
        <v>0</v>
      </c>
      <c r="AN35" s="16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6">
        <v>0</v>
      </c>
      <c r="AU35" s="14">
        <v>0</v>
      </c>
      <c r="AV35" s="14">
        <v>0</v>
      </c>
      <c r="AW35" s="14">
        <v>0</v>
      </c>
      <c r="AX35" s="25">
        <v>8</v>
      </c>
      <c r="AY35" s="24">
        <v>35</v>
      </c>
      <c r="AZ35" s="23">
        <v>35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1</v>
      </c>
      <c r="BJ35" s="14">
        <v>7</v>
      </c>
      <c r="BK35" s="14">
        <v>0</v>
      </c>
      <c r="BL35" s="14">
        <v>0</v>
      </c>
      <c r="BM35" s="17">
        <v>0</v>
      </c>
      <c r="BN35" s="18">
        <v>0</v>
      </c>
      <c r="BO35" s="8" t="s">
        <v>9</v>
      </c>
    </row>
    <row r="36" spans="1:67" ht="15.75">
      <c r="A36" s="8" t="s">
        <v>145</v>
      </c>
      <c r="B36" s="16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6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5">
        <v>0</v>
      </c>
      <c r="AL36" s="16">
        <v>0</v>
      </c>
      <c r="AM36" s="14">
        <v>0</v>
      </c>
      <c r="AN36" s="16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6">
        <v>0</v>
      </c>
      <c r="AU36" s="14">
        <v>0</v>
      </c>
      <c r="AV36" s="14">
        <v>0</v>
      </c>
      <c r="AW36" s="14">
        <v>0</v>
      </c>
      <c r="AX36" s="25">
        <v>3</v>
      </c>
      <c r="AY36" s="24">
        <f>160+144+75</f>
        <v>379</v>
      </c>
      <c r="AZ36" s="23">
        <f>1161+402+187</f>
        <v>1750</v>
      </c>
      <c r="BA36" s="14">
        <v>2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1</v>
      </c>
      <c r="BI36" s="14">
        <v>1</v>
      </c>
      <c r="BJ36" s="14">
        <v>3</v>
      </c>
      <c r="BK36" s="14">
        <v>1</v>
      </c>
      <c r="BL36" s="14">
        <v>0</v>
      </c>
      <c r="BM36" s="17">
        <v>0</v>
      </c>
      <c r="BN36" s="18">
        <v>0</v>
      </c>
      <c r="BO36" s="8" t="s">
        <v>9</v>
      </c>
    </row>
    <row r="37" spans="1:67" ht="15.75">
      <c r="A37" s="8" t="s">
        <v>10</v>
      </c>
      <c r="B37" s="16">
        <v>0</v>
      </c>
      <c r="C37" s="14">
        <v>0</v>
      </c>
      <c r="D37" s="24" t="s">
        <v>115</v>
      </c>
      <c r="E37" s="24">
        <v>10000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25" t="s">
        <v>115</v>
      </c>
      <c r="S37" s="24">
        <v>135000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24" t="s">
        <v>115</v>
      </c>
      <c r="AK37" s="23">
        <v>70000</v>
      </c>
      <c r="AL37" s="16">
        <v>0</v>
      </c>
      <c r="AM37" s="14">
        <v>0</v>
      </c>
      <c r="AN37" s="16">
        <v>0</v>
      </c>
      <c r="AO37" s="14">
        <v>0</v>
      </c>
      <c r="AP37" s="14">
        <v>0</v>
      </c>
      <c r="AQ37" s="24">
        <v>6</v>
      </c>
      <c r="AR37" s="24">
        <v>3</v>
      </c>
      <c r="AS37" s="14">
        <v>0</v>
      </c>
      <c r="AT37" s="25">
        <v>16</v>
      </c>
      <c r="AU37" s="14">
        <v>0</v>
      </c>
      <c r="AV37" s="14">
        <v>0</v>
      </c>
      <c r="AW37" s="14">
        <v>0</v>
      </c>
      <c r="AX37" s="25">
        <v>8</v>
      </c>
      <c r="AY37" s="24">
        <f>500+297+300+435+75</f>
        <v>1607</v>
      </c>
      <c r="AZ37" s="23">
        <f>33000+28215+19500+32625+1500</f>
        <v>114840</v>
      </c>
      <c r="BA37" s="14">
        <v>1</v>
      </c>
      <c r="BB37" s="14">
        <v>0</v>
      </c>
      <c r="BC37" s="14">
        <v>0</v>
      </c>
      <c r="BD37" s="14">
        <v>4</v>
      </c>
      <c r="BE37" s="14">
        <v>4</v>
      </c>
      <c r="BF37" s="14">
        <v>2</v>
      </c>
      <c r="BG37" s="14">
        <v>1</v>
      </c>
      <c r="BH37" s="14">
        <v>4</v>
      </c>
      <c r="BI37" s="14">
        <v>1</v>
      </c>
      <c r="BJ37" s="14">
        <v>3</v>
      </c>
      <c r="BK37" s="14">
        <v>1</v>
      </c>
      <c r="BL37" s="14">
        <v>1</v>
      </c>
      <c r="BM37" s="17">
        <v>0</v>
      </c>
      <c r="BN37" s="18">
        <v>8</v>
      </c>
      <c r="BO37" s="8" t="s">
        <v>10</v>
      </c>
    </row>
    <row r="38" spans="1:67" ht="15.75">
      <c r="A38" s="8" t="s">
        <v>146</v>
      </c>
      <c r="B38" s="16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6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5">
        <v>0</v>
      </c>
      <c r="AL38" s="16">
        <v>0</v>
      </c>
      <c r="AM38" s="14">
        <v>0</v>
      </c>
      <c r="AN38" s="16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6">
        <v>0</v>
      </c>
      <c r="AU38" s="14">
        <v>0</v>
      </c>
      <c r="AV38" s="14">
        <v>0</v>
      </c>
      <c r="AW38" s="14">
        <v>0</v>
      </c>
      <c r="AX38" s="25">
        <v>1</v>
      </c>
      <c r="AY38" s="24">
        <v>5</v>
      </c>
      <c r="AZ38" s="23">
        <v>5</v>
      </c>
      <c r="BA38" s="14">
        <v>1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7">
        <v>0</v>
      </c>
      <c r="BN38" s="18">
        <v>0</v>
      </c>
      <c r="BO38" s="8" t="s">
        <v>11</v>
      </c>
    </row>
    <row r="39" spans="1:67" ht="15.75">
      <c r="A39" s="8" t="s">
        <v>11</v>
      </c>
      <c r="B39" s="16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6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5">
        <v>0</v>
      </c>
      <c r="AL39" s="16">
        <v>0</v>
      </c>
      <c r="AM39" s="14">
        <v>0</v>
      </c>
      <c r="AN39" s="16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6">
        <v>0</v>
      </c>
      <c r="AU39" s="14">
        <v>0</v>
      </c>
      <c r="AV39" s="14">
        <v>0</v>
      </c>
      <c r="AW39" s="14">
        <v>0</v>
      </c>
      <c r="AX39" s="25">
        <v>22</v>
      </c>
      <c r="AY39" s="24">
        <f>1551+320+360+160+90+160+140+50+150+150+150+100+100+128+80+50+140+2820+70+135+60+90</f>
        <v>7054</v>
      </c>
      <c r="AZ39" s="23">
        <f>12700+3600+18000+9600+3600+420+280+100+150+150+150+110+110+188+80+150+140+2820+5105+4150+2280+1800</f>
        <v>65683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6</v>
      </c>
      <c r="BJ39" s="14">
        <v>19</v>
      </c>
      <c r="BK39" s="14">
        <v>1</v>
      </c>
      <c r="BL39" s="14">
        <v>2</v>
      </c>
      <c r="BM39" s="17">
        <v>0</v>
      </c>
      <c r="BN39" s="18">
        <v>0</v>
      </c>
      <c r="BO39" s="8" t="s">
        <v>11</v>
      </c>
    </row>
    <row r="40" spans="1:67" ht="15.75">
      <c r="A40" s="8" t="s">
        <v>147</v>
      </c>
      <c r="B40" s="16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5">
        <v>0</v>
      </c>
      <c r="R40" s="16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5">
        <v>0</v>
      </c>
      <c r="AL40" s="16">
        <v>0</v>
      </c>
      <c r="AM40" s="14">
        <v>0</v>
      </c>
      <c r="AN40" s="16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6">
        <v>0</v>
      </c>
      <c r="AU40" s="14">
        <v>0</v>
      </c>
      <c r="AV40" s="14">
        <v>0</v>
      </c>
      <c r="AW40" s="14">
        <v>0</v>
      </c>
      <c r="AX40" s="25">
        <v>1</v>
      </c>
      <c r="AY40" s="14" t="s">
        <v>115</v>
      </c>
      <c r="AZ40" s="15">
        <v>0</v>
      </c>
      <c r="BA40" s="16">
        <v>1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1</v>
      </c>
      <c r="BK40" s="14">
        <v>0</v>
      </c>
      <c r="BL40" s="14">
        <v>0</v>
      </c>
      <c r="BM40" s="17">
        <v>0</v>
      </c>
      <c r="BN40" s="18">
        <v>0</v>
      </c>
      <c r="BO40" s="8" t="s">
        <v>12</v>
      </c>
    </row>
    <row r="41" spans="1:67" ht="15.75">
      <c r="A41" s="8" t="s">
        <v>148</v>
      </c>
      <c r="B41" s="16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6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5">
        <v>0</v>
      </c>
      <c r="AL41" s="16">
        <v>0</v>
      </c>
      <c r="AM41" s="14">
        <v>0</v>
      </c>
      <c r="AN41" s="16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6">
        <v>0</v>
      </c>
      <c r="AU41" s="14">
        <v>0</v>
      </c>
      <c r="AV41" s="14">
        <v>0</v>
      </c>
      <c r="AW41" s="14">
        <v>0</v>
      </c>
      <c r="AX41" s="25">
        <v>20</v>
      </c>
      <c r="AY41" s="14">
        <f>74+30+180+25+34+53+75+12+20+65+35+23+103+20+25+10+50+30+103+570</f>
        <v>1537</v>
      </c>
      <c r="AZ41" s="15">
        <v>0</v>
      </c>
      <c r="BA41" s="14">
        <v>1</v>
      </c>
      <c r="BB41" s="14">
        <v>2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4</v>
      </c>
      <c r="BJ41" s="14">
        <v>13</v>
      </c>
      <c r="BK41" s="14">
        <v>0</v>
      </c>
      <c r="BL41" s="14">
        <v>0</v>
      </c>
      <c r="BM41" s="17">
        <v>0</v>
      </c>
      <c r="BN41" s="18">
        <v>0</v>
      </c>
      <c r="BO41" s="8" t="s">
        <v>12</v>
      </c>
    </row>
    <row r="42" spans="1:67" ht="15.75">
      <c r="A42" s="8" t="s">
        <v>12</v>
      </c>
      <c r="B42" s="24">
        <v>3</v>
      </c>
      <c r="C42" s="24">
        <v>3000</v>
      </c>
      <c r="D42" s="24">
        <v>1</v>
      </c>
      <c r="E42" s="24">
        <v>2000</v>
      </c>
      <c r="F42" s="24">
        <v>1</v>
      </c>
      <c r="G42" s="24">
        <v>360</v>
      </c>
      <c r="H42" s="24">
        <v>1</v>
      </c>
      <c r="I42" s="24">
        <v>460</v>
      </c>
      <c r="J42" s="24">
        <v>1</v>
      </c>
      <c r="K42" s="24">
        <v>1600</v>
      </c>
      <c r="L42" s="24">
        <v>0</v>
      </c>
      <c r="M42" s="24">
        <v>0</v>
      </c>
      <c r="N42" s="24">
        <v>1</v>
      </c>
      <c r="O42" s="24">
        <v>200</v>
      </c>
      <c r="P42" s="24">
        <v>1</v>
      </c>
      <c r="Q42" s="24">
        <v>1300</v>
      </c>
      <c r="R42" s="25" t="s">
        <v>115</v>
      </c>
      <c r="S42" s="24">
        <v>800000</v>
      </c>
      <c r="T42" s="24">
        <v>0</v>
      </c>
      <c r="U42" s="24">
        <v>0</v>
      </c>
      <c r="V42" s="24" t="s">
        <v>117</v>
      </c>
      <c r="W42" s="24">
        <v>0</v>
      </c>
      <c r="X42" s="24">
        <v>0</v>
      </c>
      <c r="Y42" s="14">
        <v>0</v>
      </c>
      <c r="Z42" s="24">
        <v>12</v>
      </c>
      <c r="AA42" s="24">
        <v>24000</v>
      </c>
      <c r="AB42" s="24">
        <v>8</v>
      </c>
      <c r="AC42" s="24">
        <v>35000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14</v>
      </c>
      <c r="AK42" s="23">
        <v>388000</v>
      </c>
      <c r="AL42" s="25">
        <v>3</v>
      </c>
      <c r="AM42" s="23">
        <v>25567</v>
      </c>
      <c r="AN42" s="25">
        <v>6</v>
      </c>
      <c r="AO42" s="24">
        <v>0</v>
      </c>
      <c r="AP42" s="24">
        <v>3</v>
      </c>
      <c r="AQ42" s="24">
        <v>0</v>
      </c>
      <c r="AR42" s="24">
        <v>0</v>
      </c>
      <c r="AS42" s="24">
        <v>0</v>
      </c>
      <c r="AT42" s="25">
        <v>3</v>
      </c>
      <c r="AU42" s="24">
        <v>0</v>
      </c>
      <c r="AV42" s="24">
        <v>0</v>
      </c>
      <c r="AW42" s="14">
        <v>0</v>
      </c>
      <c r="AX42" s="25">
        <v>64</v>
      </c>
      <c r="AY42" s="24">
        <f>375+110+1682+840+210+400+210+267+240+270+82+562+112+144+200+100+210+94+134+355+171+150+240+360+760+450+300+450+50+270+270+170+170+180+54+64+100+200</f>
        <v>11006</v>
      </c>
      <c r="AZ42" s="23">
        <f>375+2200+33640+16800+4200+8000+4200+5340+4800+10000+1100+4496+896+912+1600+800+1680+752+1072+7100+1368+3000+4800+7200+15200+9000+6000+9000+1000+5400+5400+6800+3600+2360+2000+600</f>
        <v>192691</v>
      </c>
      <c r="BA42" s="14">
        <v>13</v>
      </c>
      <c r="BB42" s="14">
        <v>3</v>
      </c>
      <c r="BC42" s="14">
        <v>8</v>
      </c>
      <c r="BD42" s="14">
        <v>7</v>
      </c>
      <c r="BE42" s="14">
        <v>14</v>
      </c>
      <c r="BF42" s="14">
        <v>8</v>
      </c>
      <c r="BG42" s="14">
        <v>11</v>
      </c>
      <c r="BH42" s="14">
        <v>15</v>
      </c>
      <c r="BI42" s="14">
        <v>1</v>
      </c>
      <c r="BJ42" s="14">
        <v>2</v>
      </c>
      <c r="BK42" s="14">
        <v>2</v>
      </c>
      <c r="BL42" s="14">
        <v>5</v>
      </c>
      <c r="BM42" s="17">
        <v>11</v>
      </c>
      <c r="BN42" s="18">
        <v>25</v>
      </c>
      <c r="BO42" s="8" t="s">
        <v>12</v>
      </c>
    </row>
    <row r="43" spans="1:67" ht="15.75">
      <c r="A43" s="8" t="s">
        <v>149</v>
      </c>
      <c r="B43" s="16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6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5">
        <v>0</v>
      </c>
      <c r="AL43" s="16">
        <v>0</v>
      </c>
      <c r="AM43" s="14">
        <v>0</v>
      </c>
      <c r="AN43" s="16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6">
        <v>0</v>
      </c>
      <c r="AU43" s="14">
        <v>0</v>
      </c>
      <c r="AV43" s="14">
        <v>0</v>
      </c>
      <c r="AW43" s="14">
        <v>0</v>
      </c>
      <c r="AX43" s="16">
        <v>0</v>
      </c>
      <c r="AY43" s="14">
        <v>0</v>
      </c>
      <c r="AZ43" s="15">
        <v>0</v>
      </c>
      <c r="BA43" s="16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7">
        <v>0</v>
      </c>
      <c r="BN43" s="18">
        <v>0</v>
      </c>
      <c r="BO43" s="8" t="s">
        <v>12</v>
      </c>
    </row>
    <row r="44" spans="1:67" ht="15.75">
      <c r="A44" s="8" t="s">
        <v>150</v>
      </c>
      <c r="B44" s="16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5">
        <v>0</v>
      </c>
      <c r="R44" s="16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5">
        <v>0</v>
      </c>
      <c r="AL44" s="16">
        <v>0</v>
      </c>
      <c r="AM44" s="14">
        <v>0</v>
      </c>
      <c r="AN44" s="16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6">
        <v>0</v>
      </c>
      <c r="AU44" s="14">
        <v>0</v>
      </c>
      <c r="AV44" s="14">
        <v>0</v>
      </c>
      <c r="AW44" s="14">
        <v>0</v>
      </c>
      <c r="AX44" s="25">
        <v>1</v>
      </c>
      <c r="AY44" s="24">
        <v>2000</v>
      </c>
      <c r="AZ44" s="23">
        <v>1000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1</v>
      </c>
      <c r="BK44" s="14">
        <v>0</v>
      </c>
      <c r="BL44" s="14">
        <v>0</v>
      </c>
      <c r="BM44" s="17">
        <v>0</v>
      </c>
      <c r="BN44" s="18">
        <v>0</v>
      </c>
      <c r="BO44" s="8" t="s">
        <v>12</v>
      </c>
    </row>
    <row r="45" spans="1:67" ht="15.75">
      <c r="A45" s="8" t="s">
        <v>151</v>
      </c>
      <c r="B45" s="16">
        <v>0</v>
      </c>
      <c r="C45" s="14">
        <v>0</v>
      </c>
      <c r="D45" s="14">
        <v>1</v>
      </c>
      <c r="E45" s="14">
        <v>2000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5">
        <v>0</v>
      </c>
      <c r="R45" s="16">
        <v>0</v>
      </c>
      <c r="S45" s="14">
        <v>0</v>
      </c>
      <c r="T45" s="14">
        <v>6</v>
      </c>
      <c r="U45" s="14">
        <v>90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5">
        <v>0</v>
      </c>
      <c r="AL45" s="16">
        <v>0</v>
      </c>
      <c r="AM45" s="14">
        <v>0</v>
      </c>
      <c r="AN45" s="16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6">
        <v>0</v>
      </c>
      <c r="AU45" s="14">
        <v>0</v>
      </c>
      <c r="AV45" s="14">
        <v>0</v>
      </c>
      <c r="AW45" s="14">
        <v>3</v>
      </c>
      <c r="AX45" s="25">
        <v>2</v>
      </c>
      <c r="AY45" s="14">
        <f>700+400</f>
        <v>1100</v>
      </c>
      <c r="AZ45" s="23">
        <f>31000+1600</f>
        <v>32600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2</v>
      </c>
      <c r="BK45" s="14">
        <v>0</v>
      </c>
      <c r="BL45" s="14">
        <v>0</v>
      </c>
      <c r="BM45" s="17">
        <v>0</v>
      </c>
      <c r="BN45" s="18">
        <v>0</v>
      </c>
      <c r="BO45" s="8" t="s">
        <v>12</v>
      </c>
    </row>
    <row r="46" spans="1:67" ht="15.75">
      <c r="A46" s="8" t="s">
        <v>152</v>
      </c>
      <c r="B46" s="16">
        <v>0</v>
      </c>
      <c r="C46" s="14">
        <v>0</v>
      </c>
      <c r="D46" s="24">
        <v>1</v>
      </c>
      <c r="E46" s="24">
        <v>300</v>
      </c>
      <c r="F46" s="14">
        <v>0</v>
      </c>
      <c r="G46" s="14">
        <v>0</v>
      </c>
      <c r="H46" s="24">
        <v>3</v>
      </c>
      <c r="I46" s="24">
        <v>60</v>
      </c>
      <c r="J46" s="24">
        <v>1</v>
      </c>
      <c r="K46" s="14">
        <v>0</v>
      </c>
      <c r="L46" s="14">
        <v>0</v>
      </c>
      <c r="M46" s="14">
        <v>0</v>
      </c>
      <c r="N46" s="24">
        <v>1</v>
      </c>
      <c r="O46" s="14">
        <v>0</v>
      </c>
      <c r="P46" s="24">
        <v>1</v>
      </c>
      <c r="Q46" s="15">
        <v>0</v>
      </c>
      <c r="R46" s="16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5">
        <v>0</v>
      </c>
      <c r="AL46" s="16">
        <v>0</v>
      </c>
      <c r="AM46" s="14">
        <v>0</v>
      </c>
      <c r="AN46" s="16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6">
        <v>0</v>
      </c>
      <c r="AU46" s="14">
        <v>0</v>
      </c>
      <c r="AV46" s="14">
        <v>0</v>
      </c>
      <c r="AW46" s="14">
        <v>0</v>
      </c>
      <c r="AX46" s="25">
        <v>10</v>
      </c>
      <c r="AY46" s="24">
        <f>300+140+50+140+60+80+140+50+111+120</f>
        <v>1191</v>
      </c>
      <c r="AZ46" s="23">
        <f>2000+420+150+420+180+240+420+150+333+360</f>
        <v>4673</v>
      </c>
      <c r="BA46" s="14">
        <v>3</v>
      </c>
      <c r="BB46" s="14">
        <v>1</v>
      </c>
      <c r="BC46" s="14">
        <v>0</v>
      </c>
      <c r="BD46" s="14">
        <v>0</v>
      </c>
      <c r="BE46" s="14">
        <v>0</v>
      </c>
      <c r="BF46" s="14">
        <v>0</v>
      </c>
      <c r="BG46" s="14">
        <v>1</v>
      </c>
      <c r="BH46" s="14">
        <v>1</v>
      </c>
      <c r="BI46" s="14">
        <v>4</v>
      </c>
      <c r="BJ46" s="14">
        <v>7</v>
      </c>
      <c r="BK46" s="14">
        <v>0</v>
      </c>
      <c r="BL46" s="14">
        <v>2</v>
      </c>
      <c r="BM46" s="17">
        <v>0</v>
      </c>
      <c r="BN46" s="18">
        <v>0</v>
      </c>
      <c r="BO46" s="8" t="s">
        <v>12</v>
      </c>
    </row>
    <row r="47" spans="1:67" ht="15.75">
      <c r="A47" s="8" t="s">
        <v>153</v>
      </c>
      <c r="B47" s="16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6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5">
        <v>0</v>
      </c>
      <c r="AL47" s="16">
        <v>0</v>
      </c>
      <c r="AM47" s="14">
        <v>0</v>
      </c>
      <c r="AN47" s="16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6">
        <v>0</v>
      </c>
      <c r="AU47" s="14">
        <v>0</v>
      </c>
      <c r="AV47" s="14">
        <v>0</v>
      </c>
      <c r="AW47" s="14">
        <v>0</v>
      </c>
      <c r="AX47" s="25">
        <v>2</v>
      </c>
      <c r="AY47" s="24">
        <f>3235+30</f>
        <v>3265</v>
      </c>
      <c r="AZ47" s="23">
        <v>0</v>
      </c>
      <c r="BA47" s="14">
        <v>0</v>
      </c>
      <c r="BB47" s="14">
        <v>1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1</v>
      </c>
      <c r="BK47" s="14">
        <v>0</v>
      </c>
      <c r="BL47" s="15">
        <v>0</v>
      </c>
      <c r="BM47" s="17">
        <v>0</v>
      </c>
      <c r="BN47" s="18">
        <v>0</v>
      </c>
      <c r="BO47" s="8" t="s">
        <v>12</v>
      </c>
    </row>
    <row r="48" spans="1:67" ht="15.75">
      <c r="A48" s="8" t="s">
        <v>154</v>
      </c>
      <c r="B48" s="16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25">
        <v>1</v>
      </c>
      <c r="S48" s="24">
        <v>400</v>
      </c>
      <c r="T48" s="24">
        <v>5</v>
      </c>
      <c r="U48" s="24">
        <v>33000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5">
        <v>0</v>
      </c>
      <c r="AL48" s="16">
        <v>0</v>
      </c>
      <c r="AM48" s="14">
        <v>0</v>
      </c>
      <c r="AN48" s="25">
        <v>1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25">
        <v>1</v>
      </c>
      <c r="AU48" s="14">
        <v>0</v>
      </c>
      <c r="AV48" s="14">
        <v>0</v>
      </c>
      <c r="AW48" s="14">
        <v>0</v>
      </c>
      <c r="AX48" s="25">
        <v>6</v>
      </c>
      <c r="AY48" s="24" t="s">
        <v>115</v>
      </c>
      <c r="AZ48" s="23">
        <v>0</v>
      </c>
      <c r="BA48" s="1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3">
        <v>0</v>
      </c>
      <c r="BM48" s="14">
        <v>0</v>
      </c>
      <c r="BN48" s="23">
        <v>0</v>
      </c>
      <c r="BO48" s="8" t="s">
        <v>12</v>
      </c>
    </row>
    <row r="49" spans="1:67" ht="15.75">
      <c r="A49" s="8" t="s">
        <v>155</v>
      </c>
      <c r="B49" s="16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6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24" t="s">
        <v>117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24">
        <v>1</v>
      </c>
      <c r="AK49" s="23">
        <v>2400</v>
      </c>
      <c r="AL49" s="14">
        <v>0</v>
      </c>
      <c r="AM49" s="15">
        <v>0</v>
      </c>
      <c r="AN49" s="16">
        <v>0</v>
      </c>
      <c r="AO49" s="14">
        <v>0</v>
      </c>
      <c r="AP49" s="24">
        <v>1</v>
      </c>
      <c r="AQ49" s="14">
        <v>0</v>
      </c>
      <c r="AR49" s="14">
        <v>0</v>
      </c>
      <c r="AS49" s="23">
        <v>1</v>
      </c>
      <c r="AT49" s="25">
        <v>2</v>
      </c>
      <c r="AU49" s="14">
        <v>0</v>
      </c>
      <c r="AV49" s="14">
        <v>0</v>
      </c>
      <c r="AW49" s="14">
        <v>0</v>
      </c>
      <c r="AX49" s="25">
        <v>4</v>
      </c>
      <c r="AY49" s="24">
        <f>1900+240</f>
        <v>2140</v>
      </c>
      <c r="AZ49" s="23">
        <v>0</v>
      </c>
      <c r="BA49" s="14">
        <v>0</v>
      </c>
      <c r="BB49" s="14">
        <v>0</v>
      </c>
      <c r="BC49" s="14">
        <v>1</v>
      </c>
      <c r="BD49" s="14">
        <v>1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2</v>
      </c>
      <c r="BK49" s="14">
        <v>0</v>
      </c>
      <c r="BL49" s="14">
        <v>0</v>
      </c>
      <c r="BM49" s="17">
        <v>0</v>
      </c>
      <c r="BN49" s="18">
        <v>0</v>
      </c>
      <c r="BO49" s="8" t="s">
        <v>12</v>
      </c>
    </row>
    <row r="50" spans="1:67" ht="15.75">
      <c r="A50" s="8" t="s">
        <v>156</v>
      </c>
      <c r="B50" s="16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1</v>
      </c>
      <c r="I50" s="14">
        <v>15</v>
      </c>
      <c r="J50" s="14">
        <v>1</v>
      </c>
      <c r="K50" s="14" t="s">
        <v>115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6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5">
        <v>0</v>
      </c>
      <c r="AL50" s="16">
        <v>0</v>
      </c>
      <c r="AM50" s="14">
        <v>0</v>
      </c>
      <c r="AN50" s="16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6">
        <v>0</v>
      </c>
      <c r="AU50" s="14">
        <v>0</v>
      </c>
      <c r="AV50" s="14">
        <v>0</v>
      </c>
      <c r="AW50" s="14">
        <v>0</v>
      </c>
      <c r="AX50" s="16">
        <v>1</v>
      </c>
      <c r="AY50" s="14">
        <v>80</v>
      </c>
      <c r="AZ50" s="15">
        <v>480</v>
      </c>
      <c r="BA50" s="16">
        <v>1</v>
      </c>
      <c r="BB50" s="14">
        <v>0</v>
      </c>
      <c r="BC50" s="14">
        <v>0</v>
      </c>
      <c r="BD50" s="14">
        <v>0</v>
      </c>
      <c r="BE50" s="14">
        <v>0</v>
      </c>
      <c r="BF50" s="14">
        <v>0</v>
      </c>
      <c r="BG50" s="14">
        <v>1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7">
        <v>0</v>
      </c>
      <c r="BN50" s="18">
        <v>0</v>
      </c>
      <c r="BO50" s="8" t="s">
        <v>13</v>
      </c>
    </row>
    <row r="51" spans="1:67" ht="15.75">
      <c r="A51" s="8" t="s">
        <v>157</v>
      </c>
      <c r="B51" s="16">
        <v>0</v>
      </c>
      <c r="C51" s="14">
        <v>0</v>
      </c>
      <c r="D51" s="14">
        <v>2</v>
      </c>
      <c r="E51" s="14" t="s">
        <v>115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6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5">
        <v>0</v>
      </c>
      <c r="AL51" s="16">
        <v>0</v>
      </c>
      <c r="AM51" s="14">
        <v>0</v>
      </c>
      <c r="AN51" s="16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6">
        <v>0</v>
      </c>
      <c r="AU51" s="14">
        <v>0</v>
      </c>
      <c r="AV51" s="14">
        <v>0</v>
      </c>
      <c r="AW51" s="14">
        <v>0</v>
      </c>
      <c r="AX51" s="16">
        <v>1</v>
      </c>
      <c r="AY51" s="14">
        <v>150</v>
      </c>
      <c r="AZ51" s="15">
        <v>1000</v>
      </c>
      <c r="BA51" s="16">
        <v>1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4">
        <v>1</v>
      </c>
      <c r="BJ51" s="14">
        <v>1</v>
      </c>
      <c r="BK51" s="14">
        <v>1</v>
      </c>
      <c r="BL51" s="14">
        <v>0</v>
      </c>
      <c r="BM51" s="17">
        <v>0</v>
      </c>
      <c r="BN51" s="18">
        <v>0</v>
      </c>
      <c r="BO51" s="8" t="s">
        <v>13</v>
      </c>
    </row>
    <row r="52" spans="1:67" ht="15.75">
      <c r="A52" s="8" t="s">
        <v>158</v>
      </c>
      <c r="B52" s="16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6">
        <v>0</v>
      </c>
      <c r="S52" s="14">
        <v>0</v>
      </c>
      <c r="T52" s="14">
        <v>3</v>
      </c>
      <c r="U52" s="14">
        <v>40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5">
        <v>0</v>
      </c>
      <c r="AL52" s="16">
        <v>0</v>
      </c>
      <c r="AM52" s="14">
        <v>0</v>
      </c>
      <c r="AN52" s="16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6">
        <v>2</v>
      </c>
      <c r="AU52" s="14">
        <v>0</v>
      </c>
      <c r="AV52" s="14">
        <v>0</v>
      </c>
      <c r="AW52" s="14">
        <v>0</v>
      </c>
      <c r="AX52" s="16">
        <v>5</v>
      </c>
      <c r="AY52" s="14">
        <f>112+60+20+62+102</f>
        <v>356</v>
      </c>
      <c r="AZ52" s="15">
        <f>896+548+66+558+387</f>
        <v>2455</v>
      </c>
      <c r="BA52" s="16">
        <v>1</v>
      </c>
      <c r="BB52" s="14">
        <v>2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3</v>
      </c>
      <c r="BJ52" s="14">
        <v>4</v>
      </c>
      <c r="BK52" s="14">
        <v>2</v>
      </c>
      <c r="BL52" s="14">
        <v>1</v>
      </c>
      <c r="BM52" s="17">
        <v>0</v>
      </c>
      <c r="BN52" s="18">
        <v>0</v>
      </c>
      <c r="BO52" s="8" t="s">
        <v>13</v>
      </c>
    </row>
    <row r="53" spans="1:67" ht="15.75">
      <c r="A53" s="8" t="s">
        <v>159</v>
      </c>
      <c r="B53" s="16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6">
        <v>0</v>
      </c>
      <c r="S53" s="14">
        <v>0</v>
      </c>
      <c r="T53" s="14">
        <v>8</v>
      </c>
      <c r="U53" s="14">
        <v>40000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5">
        <v>0</v>
      </c>
      <c r="AL53" s="16">
        <v>4</v>
      </c>
      <c r="AM53" s="14">
        <v>60</v>
      </c>
      <c r="AN53" s="16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6">
        <v>2</v>
      </c>
      <c r="AU53" s="14">
        <v>0</v>
      </c>
      <c r="AV53" s="14">
        <v>0</v>
      </c>
      <c r="AW53" s="14">
        <v>0</v>
      </c>
      <c r="AX53" s="16">
        <v>6</v>
      </c>
      <c r="AY53" s="14">
        <f>74.4+84.7+416.5+93.5+76.6</f>
        <v>745.7</v>
      </c>
      <c r="AZ53" s="15">
        <f>103.6+127.05+1041.25+140.25+4614+153.2</f>
        <v>6179.349999999999</v>
      </c>
      <c r="BA53" s="16">
        <v>5</v>
      </c>
      <c r="BB53" s="14">
        <v>1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2</v>
      </c>
      <c r="BJ53" s="14">
        <v>3</v>
      </c>
      <c r="BK53" s="14">
        <v>0</v>
      </c>
      <c r="BL53" s="14">
        <v>1</v>
      </c>
      <c r="BM53" s="17">
        <v>0</v>
      </c>
      <c r="BN53" s="18">
        <v>5</v>
      </c>
      <c r="BO53" s="8" t="s">
        <v>13</v>
      </c>
    </row>
    <row r="54" spans="1:67" ht="15.75">
      <c r="A54" s="8" t="s">
        <v>13</v>
      </c>
      <c r="B54" s="16" t="s">
        <v>115</v>
      </c>
      <c r="C54" s="14" t="s">
        <v>115</v>
      </c>
      <c r="D54" s="14" t="s">
        <v>115</v>
      </c>
      <c r="E54" s="14" t="s">
        <v>115</v>
      </c>
      <c r="F54" s="14" t="s">
        <v>115</v>
      </c>
      <c r="G54" s="14" t="s">
        <v>115</v>
      </c>
      <c r="H54" s="14" t="s">
        <v>115</v>
      </c>
      <c r="I54" s="14" t="s">
        <v>115</v>
      </c>
      <c r="J54" s="14" t="s">
        <v>115</v>
      </c>
      <c r="K54" s="14" t="s">
        <v>115</v>
      </c>
      <c r="L54" s="14" t="s">
        <v>115</v>
      </c>
      <c r="M54" s="14" t="s">
        <v>115</v>
      </c>
      <c r="N54" s="14" t="s">
        <v>115</v>
      </c>
      <c r="O54" s="14" t="s">
        <v>115</v>
      </c>
      <c r="P54" s="14" t="s">
        <v>115</v>
      </c>
      <c r="Q54" s="14" t="s">
        <v>115</v>
      </c>
      <c r="R54" s="16" t="s">
        <v>115</v>
      </c>
      <c r="S54" s="14" t="s">
        <v>115</v>
      </c>
      <c r="T54" s="14" t="s">
        <v>115</v>
      </c>
      <c r="U54" s="14" t="s">
        <v>115</v>
      </c>
      <c r="V54" s="14" t="s">
        <v>115</v>
      </c>
      <c r="W54" s="14" t="s">
        <v>115</v>
      </c>
      <c r="X54" s="14" t="s">
        <v>115</v>
      </c>
      <c r="Y54" s="14" t="s">
        <v>115</v>
      </c>
      <c r="Z54" s="14" t="s">
        <v>115</v>
      </c>
      <c r="AA54" s="14" t="s">
        <v>115</v>
      </c>
      <c r="AB54" s="14" t="s">
        <v>115</v>
      </c>
      <c r="AC54" s="14" t="s">
        <v>115</v>
      </c>
      <c r="AD54" s="14" t="s">
        <v>115</v>
      </c>
      <c r="AE54" s="14" t="s">
        <v>115</v>
      </c>
      <c r="AF54" s="14" t="s">
        <v>115</v>
      </c>
      <c r="AG54" s="14" t="s">
        <v>115</v>
      </c>
      <c r="AH54" s="14" t="s">
        <v>115</v>
      </c>
      <c r="AI54" s="14" t="s">
        <v>115</v>
      </c>
      <c r="AJ54" s="14" t="s">
        <v>115</v>
      </c>
      <c r="AK54" s="14" t="s">
        <v>115</v>
      </c>
      <c r="AL54" s="16" t="s">
        <v>115</v>
      </c>
      <c r="AM54" s="14" t="s">
        <v>115</v>
      </c>
      <c r="AN54" s="16" t="s">
        <v>115</v>
      </c>
      <c r="AO54" s="14" t="s">
        <v>115</v>
      </c>
      <c r="AP54" s="14" t="s">
        <v>115</v>
      </c>
      <c r="AQ54" s="14" t="s">
        <v>115</v>
      </c>
      <c r="AR54" s="14" t="s">
        <v>115</v>
      </c>
      <c r="AS54" s="14" t="s">
        <v>115</v>
      </c>
      <c r="AT54" s="16" t="s">
        <v>115</v>
      </c>
      <c r="AU54" s="14" t="s">
        <v>115</v>
      </c>
      <c r="AV54" s="14" t="s">
        <v>115</v>
      </c>
      <c r="AW54" s="14" t="s">
        <v>115</v>
      </c>
      <c r="AX54" s="16" t="s">
        <v>115</v>
      </c>
      <c r="AY54" s="14" t="s">
        <v>115</v>
      </c>
      <c r="AZ54" s="14" t="s">
        <v>115</v>
      </c>
      <c r="BA54" s="16" t="s">
        <v>115</v>
      </c>
      <c r="BB54" s="14" t="s">
        <v>115</v>
      </c>
      <c r="BC54" s="14" t="s">
        <v>115</v>
      </c>
      <c r="BD54" s="14" t="s">
        <v>115</v>
      </c>
      <c r="BE54" s="14" t="s">
        <v>115</v>
      </c>
      <c r="BF54" s="14" t="s">
        <v>115</v>
      </c>
      <c r="BG54" s="14" t="s">
        <v>115</v>
      </c>
      <c r="BH54" s="14" t="s">
        <v>115</v>
      </c>
      <c r="BI54" s="14" t="s">
        <v>115</v>
      </c>
      <c r="BJ54" s="14" t="s">
        <v>115</v>
      </c>
      <c r="BK54" s="14" t="s">
        <v>115</v>
      </c>
      <c r="BL54" s="14" t="s">
        <v>115</v>
      </c>
      <c r="BM54" s="16" t="s">
        <v>115</v>
      </c>
      <c r="BN54" s="14" t="s">
        <v>115</v>
      </c>
      <c r="BO54" s="8" t="s">
        <v>13</v>
      </c>
    </row>
    <row r="55" spans="1:67" ht="15.75">
      <c r="A55" s="8" t="s">
        <v>14</v>
      </c>
      <c r="B55" s="16">
        <v>1</v>
      </c>
      <c r="C55" s="14">
        <v>1035</v>
      </c>
      <c r="D55" s="14">
        <v>6</v>
      </c>
      <c r="E55" s="14">
        <v>165481</v>
      </c>
      <c r="F55" s="14">
        <v>6</v>
      </c>
      <c r="G55" s="14">
        <v>520</v>
      </c>
      <c r="H55" s="14">
        <v>8</v>
      </c>
      <c r="I55" s="14">
        <v>835</v>
      </c>
      <c r="J55" s="14">
        <v>1</v>
      </c>
      <c r="K55" s="14">
        <v>110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6">
        <v>16</v>
      </c>
      <c r="S55" s="14">
        <v>333456</v>
      </c>
      <c r="T55" s="14">
        <v>33</v>
      </c>
      <c r="U55" s="14">
        <v>188276</v>
      </c>
      <c r="V55" s="14" t="s">
        <v>117</v>
      </c>
      <c r="W55" s="14">
        <v>0</v>
      </c>
      <c r="X55" s="14">
        <v>0</v>
      </c>
      <c r="Y55" s="14">
        <v>0</v>
      </c>
      <c r="Z55" s="14">
        <v>14</v>
      </c>
      <c r="AA55" s="14">
        <v>91250</v>
      </c>
      <c r="AB55" s="14">
        <v>1</v>
      </c>
      <c r="AC55" s="14">
        <v>86060</v>
      </c>
      <c r="AD55" s="14">
        <v>0</v>
      </c>
      <c r="AE55" s="14">
        <v>0</v>
      </c>
      <c r="AF55" s="14">
        <v>4</v>
      </c>
      <c r="AG55" s="14">
        <v>46350</v>
      </c>
      <c r="AH55" s="14">
        <v>1</v>
      </c>
      <c r="AI55" s="14">
        <v>11587</v>
      </c>
      <c r="AJ55" s="14">
        <v>4</v>
      </c>
      <c r="AK55" s="15">
        <v>172450</v>
      </c>
      <c r="AL55" s="16">
        <v>1</v>
      </c>
      <c r="AM55" s="14">
        <v>5900</v>
      </c>
      <c r="AN55" s="16">
        <v>2</v>
      </c>
      <c r="AO55" s="14">
        <v>2</v>
      </c>
      <c r="AP55" s="14">
        <v>0</v>
      </c>
      <c r="AQ55" s="14">
        <v>14</v>
      </c>
      <c r="AR55" s="14">
        <v>3</v>
      </c>
      <c r="AS55" s="14">
        <v>0</v>
      </c>
      <c r="AT55" s="16">
        <v>8</v>
      </c>
      <c r="AU55" s="14">
        <v>4</v>
      </c>
      <c r="AV55" s="14">
        <v>16</v>
      </c>
      <c r="AW55" s="14">
        <v>0</v>
      </c>
      <c r="AX55" s="16">
        <v>32</v>
      </c>
      <c r="AY55" s="14">
        <f>86+151+45+143.4+205+88+103+178.9+228+230+44+237.14+216+144.96+594+767+829.72+180+312+300+167+235+75+390+300+718+177+85.6+228+74+56+45</f>
        <v>7633.72</v>
      </c>
      <c r="AZ55" s="15">
        <f>3016+12848+441+4016+2012+1100+1575+7758+6103+2087+4753+11565+7613+4260+28638+27824+7360+17420+23192+29808+16709+17358+2643+103230+58051+89343+352+191+6004+255+2979+1268</f>
        <v>501772</v>
      </c>
      <c r="BA55" s="16">
        <v>15</v>
      </c>
      <c r="BB55" s="14">
        <v>1</v>
      </c>
      <c r="BC55" s="14">
        <v>1</v>
      </c>
      <c r="BD55" s="14">
        <v>2</v>
      </c>
      <c r="BE55" s="14">
        <v>1</v>
      </c>
      <c r="BF55" s="14">
        <v>0</v>
      </c>
      <c r="BG55" s="14">
        <v>11</v>
      </c>
      <c r="BH55" s="14">
        <v>0</v>
      </c>
      <c r="BI55" s="14">
        <v>1</v>
      </c>
      <c r="BJ55" s="14">
        <v>2</v>
      </c>
      <c r="BK55" s="14">
        <v>5</v>
      </c>
      <c r="BL55" s="14">
        <v>1</v>
      </c>
      <c r="BM55" s="17">
        <v>3</v>
      </c>
      <c r="BN55" s="18">
        <v>0</v>
      </c>
      <c r="BO55" s="8" t="s">
        <v>14</v>
      </c>
    </row>
    <row r="56" spans="1:67" ht="15.75">
      <c r="A56" s="8" t="s">
        <v>311</v>
      </c>
      <c r="B56" s="16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6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5">
        <v>0</v>
      </c>
      <c r="AL56" s="16">
        <v>0</v>
      </c>
      <c r="AM56" s="14">
        <v>0</v>
      </c>
      <c r="AN56" s="16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6">
        <v>0</v>
      </c>
      <c r="AU56" s="14">
        <v>0</v>
      </c>
      <c r="AV56" s="14">
        <v>0</v>
      </c>
      <c r="AW56" s="14">
        <v>0</v>
      </c>
      <c r="AX56" s="16">
        <v>1</v>
      </c>
      <c r="AY56" s="14">
        <v>300</v>
      </c>
      <c r="AZ56" s="15">
        <v>0</v>
      </c>
      <c r="BA56" s="16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1</v>
      </c>
      <c r="BJ56" s="14">
        <v>1</v>
      </c>
      <c r="BK56" s="14">
        <v>1</v>
      </c>
      <c r="BL56" s="14">
        <v>0</v>
      </c>
      <c r="BM56" s="17">
        <v>0</v>
      </c>
      <c r="BN56" s="18">
        <v>0</v>
      </c>
      <c r="BO56" s="8" t="s">
        <v>14</v>
      </c>
    </row>
    <row r="57" spans="1:67" ht="15.75">
      <c r="A57" s="8" t="s">
        <v>312</v>
      </c>
      <c r="B57" s="16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6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5">
        <v>0</v>
      </c>
      <c r="AL57" s="16">
        <v>0</v>
      </c>
      <c r="AM57" s="14">
        <v>0</v>
      </c>
      <c r="AN57" s="16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6">
        <v>0</v>
      </c>
      <c r="AU57" s="14">
        <v>0</v>
      </c>
      <c r="AV57" s="14">
        <v>0</v>
      </c>
      <c r="AW57" s="14">
        <v>0</v>
      </c>
      <c r="AX57" s="16">
        <v>1</v>
      </c>
      <c r="AY57" s="14">
        <v>4800</v>
      </c>
      <c r="AZ57" s="15">
        <v>0</v>
      </c>
      <c r="BA57" s="16">
        <v>0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v>0</v>
      </c>
      <c r="BI57" s="14">
        <v>0</v>
      </c>
      <c r="BJ57" s="14">
        <v>1</v>
      </c>
      <c r="BK57" s="14">
        <v>0</v>
      </c>
      <c r="BL57" s="14">
        <v>0</v>
      </c>
      <c r="BM57" s="17">
        <v>0</v>
      </c>
      <c r="BN57" s="18">
        <v>0</v>
      </c>
      <c r="BO57" s="8" t="s">
        <v>14</v>
      </c>
    </row>
    <row r="58" spans="1:67" ht="15.75">
      <c r="A58" s="8" t="s">
        <v>313</v>
      </c>
      <c r="B58" s="16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6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5">
        <v>0</v>
      </c>
      <c r="AL58" s="16">
        <v>0</v>
      </c>
      <c r="AM58" s="14">
        <v>0</v>
      </c>
      <c r="AN58" s="16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6">
        <v>0</v>
      </c>
      <c r="AU58" s="14">
        <v>0</v>
      </c>
      <c r="AV58" s="14">
        <v>0</v>
      </c>
      <c r="AW58" s="14">
        <v>0</v>
      </c>
      <c r="AX58" s="16">
        <v>1</v>
      </c>
      <c r="AY58" s="14">
        <v>210</v>
      </c>
      <c r="AZ58" s="15">
        <v>0</v>
      </c>
      <c r="BA58" s="16">
        <v>1</v>
      </c>
      <c r="BB58" s="14">
        <v>1</v>
      </c>
      <c r="BC58" s="14">
        <v>0</v>
      </c>
      <c r="BD58" s="14"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1</v>
      </c>
      <c r="BJ58" s="14">
        <v>1</v>
      </c>
      <c r="BK58" s="14">
        <v>1</v>
      </c>
      <c r="BL58" s="14">
        <v>1</v>
      </c>
      <c r="BM58" s="17">
        <v>0</v>
      </c>
      <c r="BN58" s="18">
        <v>0</v>
      </c>
      <c r="BO58" s="8" t="s">
        <v>14</v>
      </c>
    </row>
    <row r="59" spans="1:67" ht="15.75">
      <c r="A59" s="8" t="s">
        <v>160</v>
      </c>
      <c r="B59" s="16">
        <v>1</v>
      </c>
      <c r="C59" s="14" t="s">
        <v>115</v>
      </c>
      <c r="D59" s="14">
        <v>1</v>
      </c>
      <c r="E59" s="14" t="s">
        <v>115</v>
      </c>
      <c r="F59" s="14">
        <v>0</v>
      </c>
      <c r="G59" s="14">
        <v>0</v>
      </c>
      <c r="H59" s="14">
        <v>2</v>
      </c>
      <c r="I59" s="14" t="s">
        <v>115</v>
      </c>
      <c r="J59" s="14">
        <v>1</v>
      </c>
      <c r="K59" s="14" t="s">
        <v>115</v>
      </c>
      <c r="L59" s="14">
        <v>0</v>
      </c>
      <c r="M59" s="14">
        <v>0</v>
      </c>
      <c r="N59" s="14">
        <v>2</v>
      </c>
      <c r="O59" s="14" t="s">
        <v>115</v>
      </c>
      <c r="P59" s="14">
        <v>1</v>
      </c>
      <c r="Q59" s="14" t="s">
        <v>115</v>
      </c>
      <c r="R59" s="16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5">
        <v>0</v>
      </c>
      <c r="AL59" s="16">
        <v>0</v>
      </c>
      <c r="AM59" s="14">
        <v>0</v>
      </c>
      <c r="AN59" s="16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6">
        <v>0</v>
      </c>
      <c r="AU59" s="14">
        <v>0</v>
      </c>
      <c r="AV59" s="14">
        <v>0</v>
      </c>
      <c r="AW59" s="14">
        <v>0</v>
      </c>
      <c r="AX59" s="16">
        <v>7</v>
      </c>
      <c r="AY59" s="14">
        <f>228+150+10+93+188+129+226</f>
        <v>1024</v>
      </c>
      <c r="AZ59" s="15">
        <v>0</v>
      </c>
      <c r="BA59" s="16">
        <v>2</v>
      </c>
      <c r="BB59" s="14">
        <v>0</v>
      </c>
      <c r="BC59" s="14">
        <v>1</v>
      </c>
      <c r="BD59" s="14">
        <v>0</v>
      </c>
      <c r="BE59" s="14">
        <v>1</v>
      </c>
      <c r="BF59" s="14">
        <v>0</v>
      </c>
      <c r="BG59" s="14">
        <v>0</v>
      </c>
      <c r="BH59" s="14">
        <v>0</v>
      </c>
      <c r="BI59" s="14">
        <v>6</v>
      </c>
      <c r="BJ59" s="14">
        <v>2</v>
      </c>
      <c r="BK59" s="14">
        <v>0</v>
      </c>
      <c r="BL59" s="14">
        <v>4</v>
      </c>
      <c r="BM59" s="17">
        <v>0</v>
      </c>
      <c r="BN59" s="18">
        <v>0</v>
      </c>
      <c r="BO59" s="8" t="s">
        <v>119</v>
      </c>
    </row>
    <row r="60" spans="1:67" ht="15.75">
      <c r="A60" s="8" t="s">
        <v>161</v>
      </c>
      <c r="B60" s="16">
        <v>1</v>
      </c>
      <c r="C60" s="14" t="s">
        <v>115</v>
      </c>
      <c r="D60" s="14">
        <v>2</v>
      </c>
      <c r="E60" s="14" t="s">
        <v>115</v>
      </c>
      <c r="F60" s="14">
        <v>0</v>
      </c>
      <c r="G60" s="14">
        <v>0</v>
      </c>
      <c r="H60" s="14">
        <v>1</v>
      </c>
      <c r="I60" s="14" t="s">
        <v>115</v>
      </c>
      <c r="J60" s="14">
        <v>2</v>
      </c>
      <c r="K60" s="14" t="s">
        <v>115</v>
      </c>
      <c r="L60" s="14">
        <v>0</v>
      </c>
      <c r="M60" s="14">
        <v>0</v>
      </c>
      <c r="N60" s="14">
        <v>3</v>
      </c>
      <c r="O60" s="14" t="s">
        <v>115</v>
      </c>
      <c r="P60" s="14">
        <v>1</v>
      </c>
      <c r="Q60" s="14" t="s">
        <v>115</v>
      </c>
      <c r="R60" s="16">
        <v>0</v>
      </c>
      <c r="S60" s="14">
        <v>0</v>
      </c>
      <c r="T60" s="14">
        <v>0</v>
      </c>
      <c r="U60" s="14">
        <v>0</v>
      </c>
      <c r="V60" s="14" t="s">
        <v>117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5">
        <v>0</v>
      </c>
      <c r="AL60" s="16">
        <v>0</v>
      </c>
      <c r="AM60" s="14">
        <v>0</v>
      </c>
      <c r="AN60" s="16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6">
        <v>0</v>
      </c>
      <c r="AU60" s="14">
        <v>0</v>
      </c>
      <c r="AV60" s="14">
        <v>0</v>
      </c>
      <c r="AW60" s="14">
        <v>0</v>
      </c>
      <c r="AX60" s="16">
        <v>2</v>
      </c>
      <c r="AY60" s="14">
        <f>1400+1580</f>
        <v>2980</v>
      </c>
      <c r="AZ60" s="15">
        <v>0</v>
      </c>
      <c r="BA60" s="16">
        <v>1</v>
      </c>
      <c r="BB60" s="14">
        <v>0</v>
      </c>
      <c r="BC60" s="14">
        <v>0</v>
      </c>
      <c r="BD60" s="14">
        <v>0</v>
      </c>
      <c r="BE60" s="14">
        <v>1</v>
      </c>
      <c r="BF60" s="14">
        <v>0</v>
      </c>
      <c r="BG60" s="14">
        <v>1</v>
      </c>
      <c r="BH60" s="14">
        <v>0</v>
      </c>
      <c r="BI60" s="14">
        <v>2</v>
      </c>
      <c r="BJ60" s="14">
        <v>0</v>
      </c>
      <c r="BK60" s="14">
        <v>2</v>
      </c>
      <c r="BL60" s="14">
        <v>0</v>
      </c>
      <c r="BM60" s="17">
        <v>0</v>
      </c>
      <c r="BN60" s="18">
        <v>0</v>
      </c>
      <c r="BO60" s="8" t="s">
        <v>119</v>
      </c>
    </row>
    <row r="61" spans="1:67" ht="15.75">
      <c r="A61" s="8" t="s">
        <v>162</v>
      </c>
      <c r="B61" s="16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6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5">
        <v>0</v>
      </c>
      <c r="AL61" s="16">
        <v>0</v>
      </c>
      <c r="AM61" s="14">
        <v>0</v>
      </c>
      <c r="AN61" s="16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6">
        <v>0</v>
      </c>
      <c r="AU61" s="14">
        <v>0</v>
      </c>
      <c r="AV61" s="14">
        <v>0</v>
      </c>
      <c r="AW61" s="14">
        <v>0</v>
      </c>
      <c r="AX61" s="16">
        <v>1</v>
      </c>
      <c r="AY61" s="14">
        <v>200</v>
      </c>
      <c r="AZ61" s="15">
        <v>500</v>
      </c>
      <c r="BA61" s="16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1</v>
      </c>
      <c r="BK61" s="14">
        <v>0</v>
      </c>
      <c r="BL61" s="14">
        <v>0</v>
      </c>
      <c r="BM61" s="17">
        <v>0</v>
      </c>
      <c r="BN61" s="18">
        <v>0</v>
      </c>
      <c r="BO61" s="8" t="s">
        <v>15</v>
      </c>
    </row>
    <row r="62" spans="1:67" ht="15.75">
      <c r="A62" s="8" t="s">
        <v>15</v>
      </c>
      <c r="B62" s="16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6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5">
        <v>0</v>
      </c>
      <c r="AL62" s="16">
        <v>0</v>
      </c>
      <c r="AM62" s="14">
        <v>0</v>
      </c>
      <c r="AN62" s="16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6">
        <v>0</v>
      </c>
      <c r="AU62" s="14">
        <v>0</v>
      </c>
      <c r="AV62" s="14">
        <v>0</v>
      </c>
      <c r="AW62" s="14">
        <v>0</v>
      </c>
      <c r="AX62" s="16">
        <v>7</v>
      </c>
      <c r="AY62" s="14">
        <f>585+100+160+400+80+210+340+235</f>
        <v>2110</v>
      </c>
      <c r="AZ62" s="15">
        <f>77000+15000+360+30000+160+1450+1700</f>
        <v>125670</v>
      </c>
      <c r="BA62" s="16">
        <v>1</v>
      </c>
      <c r="BB62" s="14">
        <v>1</v>
      </c>
      <c r="BC62" s="14">
        <v>1</v>
      </c>
      <c r="BD62" s="14">
        <v>1</v>
      </c>
      <c r="BE62" s="14">
        <v>1</v>
      </c>
      <c r="BF62" s="14">
        <v>0</v>
      </c>
      <c r="BG62" s="14">
        <v>1</v>
      </c>
      <c r="BH62" s="14">
        <v>1</v>
      </c>
      <c r="BI62" s="14">
        <v>2</v>
      </c>
      <c r="BJ62" s="14">
        <v>5</v>
      </c>
      <c r="BK62" s="14">
        <v>2</v>
      </c>
      <c r="BL62" s="14">
        <v>2</v>
      </c>
      <c r="BM62" s="17">
        <v>0</v>
      </c>
      <c r="BN62" s="18">
        <v>0</v>
      </c>
      <c r="BO62" s="8" t="s">
        <v>15</v>
      </c>
    </row>
    <row r="63" spans="1:67" ht="15.75">
      <c r="A63" s="8" t="s">
        <v>163</v>
      </c>
      <c r="B63" s="16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6</v>
      </c>
      <c r="O63" s="14">
        <v>48</v>
      </c>
      <c r="P63" s="14">
        <v>0</v>
      </c>
      <c r="Q63" s="14">
        <v>0</v>
      </c>
      <c r="R63" s="16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5">
        <v>0</v>
      </c>
      <c r="AL63" s="16">
        <v>0</v>
      </c>
      <c r="AM63" s="14">
        <v>0</v>
      </c>
      <c r="AN63" s="16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6">
        <v>0</v>
      </c>
      <c r="AU63" s="14">
        <v>0</v>
      </c>
      <c r="AV63" s="14">
        <v>0</v>
      </c>
      <c r="AW63" s="14">
        <v>0</v>
      </c>
      <c r="AX63" s="16">
        <v>3</v>
      </c>
      <c r="AY63" s="14">
        <f>190+160+160</f>
        <v>510</v>
      </c>
      <c r="AZ63" s="15">
        <f>1330+700+770</f>
        <v>2800</v>
      </c>
      <c r="BA63" s="16">
        <v>2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1</v>
      </c>
      <c r="BH63" s="14">
        <v>0</v>
      </c>
      <c r="BI63" s="14">
        <v>2</v>
      </c>
      <c r="BJ63" s="14">
        <v>2</v>
      </c>
      <c r="BK63" s="14">
        <v>0</v>
      </c>
      <c r="BL63" s="14">
        <v>1</v>
      </c>
      <c r="BM63" s="17">
        <v>0</v>
      </c>
      <c r="BN63" s="18">
        <v>0</v>
      </c>
      <c r="BO63" s="8" t="s">
        <v>15</v>
      </c>
    </row>
    <row r="64" spans="1:67" ht="15.75">
      <c r="A64" s="8" t="s">
        <v>164</v>
      </c>
      <c r="B64" s="16">
        <v>1</v>
      </c>
      <c r="C64" s="14">
        <v>20</v>
      </c>
      <c r="D64" s="14">
        <v>2</v>
      </c>
      <c r="E64" s="14">
        <v>3000</v>
      </c>
      <c r="F64" s="14">
        <v>0</v>
      </c>
      <c r="G64" s="14">
        <v>0</v>
      </c>
      <c r="H64" s="14">
        <v>2</v>
      </c>
      <c r="I64" s="14">
        <v>25</v>
      </c>
      <c r="J64" s="14">
        <v>1</v>
      </c>
      <c r="K64" s="14">
        <v>150</v>
      </c>
      <c r="L64" s="14">
        <v>0</v>
      </c>
      <c r="M64" s="14">
        <v>0</v>
      </c>
      <c r="N64" s="14">
        <v>1</v>
      </c>
      <c r="O64" s="14">
        <v>70</v>
      </c>
      <c r="P64" s="14">
        <v>0</v>
      </c>
      <c r="Q64" s="14">
        <v>0</v>
      </c>
      <c r="R64" s="16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5">
        <v>0</v>
      </c>
      <c r="AL64" s="16">
        <v>0</v>
      </c>
      <c r="AM64" s="14">
        <v>0</v>
      </c>
      <c r="AN64" s="16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6">
        <v>0</v>
      </c>
      <c r="AU64" s="14">
        <v>0</v>
      </c>
      <c r="AV64" s="14">
        <v>0</v>
      </c>
      <c r="AW64" s="14">
        <v>0</v>
      </c>
      <c r="AX64" s="16">
        <v>2</v>
      </c>
      <c r="AY64" s="14">
        <f>450+200</f>
        <v>650</v>
      </c>
      <c r="AZ64" s="15">
        <f>1300+700</f>
        <v>2000</v>
      </c>
      <c r="BA64" s="16">
        <v>1</v>
      </c>
      <c r="BB64" s="14">
        <v>0</v>
      </c>
      <c r="BC64" s="14">
        <v>0</v>
      </c>
      <c r="BD64" s="14">
        <v>0</v>
      </c>
      <c r="BE64" s="14">
        <v>0</v>
      </c>
      <c r="BF64" s="14">
        <v>0</v>
      </c>
      <c r="BG64" s="14">
        <v>1</v>
      </c>
      <c r="BH64" s="14">
        <v>2</v>
      </c>
      <c r="BI64" s="14">
        <v>1</v>
      </c>
      <c r="BJ64" s="14">
        <v>1</v>
      </c>
      <c r="BK64" s="14">
        <v>1</v>
      </c>
      <c r="BL64" s="14">
        <v>2</v>
      </c>
      <c r="BM64" s="17">
        <v>0</v>
      </c>
      <c r="BN64" s="18">
        <v>0</v>
      </c>
      <c r="BO64" s="8" t="s">
        <v>15</v>
      </c>
    </row>
    <row r="65" spans="1:67" ht="15.75">
      <c r="A65" s="8" t="s">
        <v>165</v>
      </c>
      <c r="B65" s="16">
        <v>0</v>
      </c>
      <c r="C65" s="14">
        <v>0</v>
      </c>
      <c r="D65" s="14">
        <v>1</v>
      </c>
      <c r="E65" s="14">
        <v>2900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6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5">
        <v>0</v>
      </c>
      <c r="AL65" s="16">
        <v>0</v>
      </c>
      <c r="AM65" s="14">
        <v>0</v>
      </c>
      <c r="AN65" s="16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6">
        <v>0</v>
      </c>
      <c r="AU65" s="14">
        <v>0</v>
      </c>
      <c r="AV65" s="14">
        <v>0</v>
      </c>
      <c r="AW65" s="14">
        <v>0</v>
      </c>
      <c r="AX65" s="16">
        <v>5</v>
      </c>
      <c r="AY65" s="14">
        <f>564+42+40+16+13</f>
        <v>675</v>
      </c>
      <c r="AZ65" s="15">
        <f>1410+126+120+32+91</f>
        <v>1779</v>
      </c>
      <c r="BA65" s="16">
        <v>1</v>
      </c>
      <c r="BB65" s="14">
        <v>0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v>0</v>
      </c>
      <c r="BI65" s="14">
        <v>1</v>
      </c>
      <c r="BJ65" s="14">
        <v>2</v>
      </c>
      <c r="BK65" s="14">
        <v>0</v>
      </c>
      <c r="BL65" s="14">
        <v>1</v>
      </c>
      <c r="BM65" s="17">
        <v>0</v>
      </c>
      <c r="BN65" s="18">
        <v>0</v>
      </c>
      <c r="BO65" s="8" t="s">
        <v>15</v>
      </c>
    </row>
    <row r="66" spans="1:67" ht="15.75">
      <c r="A66" s="8" t="s">
        <v>166</v>
      </c>
      <c r="B66" s="16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6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5">
        <v>0</v>
      </c>
      <c r="AL66" s="16">
        <v>0</v>
      </c>
      <c r="AM66" s="14">
        <v>0</v>
      </c>
      <c r="AN66" s="16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6">
        <v>0</v>
      </c>
      <c r="AU66" s="14">
        <v>0</v>
      </c>
      <c r="AV66" s="14">
        <v>0</v>
      </c>
      <c r="AW66" s="14">
        <v>0</v>
      </c>
      <c r="AX66" s="16">
        <v>3</v>
      </c>
      <c r="AY66" s="14">
        <f>250+3*37.2</f>
        <v>361.6</v>
      </c>
      <c r="AZ66" s="15">
        <f>3722+2250</f>
        <v>5972</v>
      </c>
      <c r="BA66" s="16">
        <v>0</v>
      </c>
      <c r="BB66" s="14">
        <v>0</v>
      </c>
      <c r="BC66" s="14">
        <v>0</v>
      </c>
      <c r="BD66" s="14">
        <v>0</v>
      </c>
      <c r="BE66" s="14">
        <v>0</v>
      </c>
      <c r="BF66" s="14">
        <v>0</v>
      </c>
      <c r="BG66" s="14">
        <v>0</v>
      </c>
      <c r="BH66" s="14">
        <v>0</v>
      </c>
      <c r="BI66" s="14">
        <v>0</v>
      </c>
      <c r="BJ66" s="14">
        <v>3</v>
      </c>
      <c r="BK66" s="14">
        <v>0</v>
      </c>
      <c r="BL66" s="14">
        <v>0</v>
      </c>
      <c r="BM66" s="17">
        <v>0</v>
      </c>
      <c r="BN66" s="18">
        <v>0</v>
      </c>
      <c r="BO66" s="8" t="s">
        <v>15</v>
      </c>
    </row>
    <row r="67" spans="1:67" ht="15.75">
      <c r="A67" s="8" t="s">
        <v>167</v>
      </c>
      <c r="B67" s="16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6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5">
        <v>0</v>
      </c>
      <c r="AL67" s="16">
        <v>0</v>
      </c>
      <c r="AM67" s="14">
        <v>0</v>
      </c>
      <c r="AN67" s="16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6">
        <v>0</v>
      </c>
      <c r="AU67" s="14">
        <v>0</v>
      </c>
      <c r="AV67" s="14">
        <v>0</v>
      </c>
      <c r="AW67" s="14">
        <v>0</v>
      </c>
      <c r="AX67" s="16">
        <v>1</v>
      </c>
      <c r="AY67" s="14">
        <v>200</v>
      </c>
      <c r="AZ67" s="15">
        <v>2500</v>
      </c>
      <c r="BA67" s="16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1</v>
      </c>
      <c r="BK67" s="14">
        <v>0</v>
      </c>
      <c r="BL67" s="14">
        <v>0</v>
      </c>
      <c r="BM67" s="17">
        <v>0</v>
      </c>
      <c r="BN67" s="18">
        <v>1</v>
      </c>
      <c r="BO67" s="8" t="s">
        <v>15</v>
      </c>
    </row>
    <row r="68" spans="1:67" ht="15.75">
      <c r="A68" s="8" t="s">
        <v>168</v>
      </c>
      <c r="B68" s="16">
        <v>0</v>
      </c>
      <c r="C68" s="14">
        <v>0</v>
      </c>
      <c r="D68" s="14">
        <v>1</v>
      </c>
      <c r="E68" s="14">
        <v>2000</v>
      </c>
      <c r="F68" s="14">
        <v>0</v>
      </c>
      <c r="G68" s="14">
        <v>0</v>
      </c>
      <c r="H68" s="14">
        <v>3</v>
      </c>
      <c r="I68" s="14">
        <v>30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1</v>
      </c>
      <c r="Q68" s="14">
        <v>50</v>
      </c>
      <c r="R68" s="16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5">
        <v>0</v>
      </c>
      <c r="AL68" s="16">
        <v>0</v>
      </c>
      <c r="AM68" s="14">
        <v>0</v>
      </c>
      <c r="AN68" s="16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6">
        <v>0</v>
      </c>
      <c r="AU68" s="14">
        <v>0</v>
      </c>
      <c r="AV68" s="14">
        <v>0</v>
      </c>
      <c r="AW68" s="14">
        <v>0</v>
      </c>
      <c r="AX68" s="16">
        <v>8</v>
      </c>
      <c r="AY68" s="14">
        <f>350+20+700+700+130+100+200+100</f>
        <v>2300</v>
      </c>
      <c r="AZ68" s="15">
        <f>2800+200+14000+14000+2500+1679</f>
        <v>35179</v>
      </c>
      <c r="BA68" s="16">
        <v>2</v>
      </c>
      <c r="BB68" s="14">
        <v>1</v>
      </c>
      <c r="BC68" s="14">
        <v>1</v>
      </c>
      <c r="BD68" s="14">
        <v>0</v>
      </c>
      <c r="BE68" s="14">
        <v>1</v>
      </c>
      <c r="BF68" s="14">
        <v>0</v>
      </c>
      <c r="BG68" s="14">
        <v>1</v>
      </c>
      <c r="BH68" s="14">
        <v>1</v>
      </c>
      <c r="BI68" s="14">
        <v>2</v>
      </c>
      <c r="BJ68" s="14">
        <v>7</v>
      </c>
      <c r="BK68" s="14">
        <v>1</v>
      </c>
      <c r="BL68" s="14">
        <v>0</v>
      </c>
      <c r="BM68" s="17">
        <v>0</v>
      </c>
      <c r="BN68" s="18">
        <v>8</v>
      </c>
      <c r="BO68" s="8" t="s">
        <v>15</v>
      </c>
    </row>
    <row r="69" spans="1:67" ht="15.75">
      <c r="A69" s="8" t="s">
        <v>169</v>
      </c>
      <c r="B69" s="16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6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5">
        <v>0</v>
      </c>
      <c r="AL69" s="16">
        <v>0</v>
      </c>
      <c r="AM69" s="14">
        <v>0</v>
      </c>
      <c r="AN69" s="16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6">
        <v>0</v>
      </c>
      <c r="AU69" s="14">
        <v>0</v>
      </c>
      <c r="AV69" s="14">
        <v>0</v>
      </c>
      <c r="AW69" s="14">
        <v>0</v>
      </c>
      <c r="AX69" s="16">
        <v>2</v>
      </c>
      <c r="AY69" s="14">
        <f>594+711</f>
        <v>1305</v>
      </c>
      <c r="AZ69" s="15">
        <v>0</v>
      </c>
      <c r="BA69" s="16">
        <v>1</v>
      </c>
      <c r="BB69" s="14">
        <v>0</v>
      </c>
      <c r="BC69" s="14">
        <v>1</v>
      </c>
      <c r="BD69" s="14">
        <v>0</v>
      </c>
      <c r="BE69" s="14">
        <v>0</v>
      </c>
      <c r="BF69" s="14">
        <v>0</v>
      </c>
      <c r="BG69" s="14">
        <v>0</v>
      </c>
      <c r="BH69" s="14">
        <v>1</v>
      </c>
      <c r="BI69" s="14">
        <v>2</v>
      </c>
      <c r="BJ69" s="14">
        <v>1</v>
      </c>
      <c r="BK69" s="14">
        <v>0</v>
      </c>
      <c r="BL69" s="14">
        <v>0</v>
      </c>
      <c r="BM69" s="17">
        <v>0</v>
      </c>
      <c r="BN69" s="18">
        <v>0</v>
      </c>
      <c r="BO69" s="8" t="s">
        <v>16</v>
      </c>
    </row>
    <row r="70" spans="1:67" ht="15.75">
      <c r="A70" s="8" t="s">
        <v>170</v>
      </c>
      <c r="B70" s="16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6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5">
        <v>0</v>
      </c>
      <c r="AL70" s="16">
        <v>0</v>
      </c>
      <c r="AM70" s="14">
        <v>0</v>
      </c>
      <c r="AN70" s="16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6">
        <v>0</v>
      </c>
      <c r="AU70" s="14">
        <v>0</v>
      </c>
      <c r="AV70" s="14">
        <v>0</v>
      </c>
      <c r="AW70" s="14">
        <v>0</v>
      </c>
      <c r="AX70" s="16">
        <v>4</v>
      </c>
      <c r="AY70" s="14">
        <f>533+672+80+793</f>
        <v>2078</v>
      </c>
      <c r="AZ70" s="15">
        <v>0</v>
      </c>
      <c r="BA70" s="16">
        <v>3</v>
      </c>
      <c r="BB70" s="14">
        <v>0</v>
      </c>
      <c r="BC70" s="14">
        <v>0</v>
      </c>
      <c r="BD70" s="14">
        <v>0</v>
      </c>
      <c r="BE70" s="14">
        <v>0</v>
      </c>
      <c r="BF70" s="14">
        <v>0</v>
      </c>
      <c r="BG70" s="14">
        <v>2</v>
      </c>
      <c r="BH70" s="14">
        <v>2</v>
      </c>
      <c r="BI70" s="14">
        <v>3</v>
      </c>
      <c r="BJ70" s="14">
        <v>4</v>
      </c>
      <c r="BK70" s="14">
        <v>2</v>
      </c>
      <c r="BL70" s="14">
        <v>0</v>
      </c>
      <c r="BM70" s="17">
        <v>0</v>
      </c>
      <c r="BN70" s="18">
        <v>0</v>
      </c>
      <c r="BO70" s="8" t="s">
        <v>16</v>
      </c>
    </row>
    <row r="71" spans="1:67" ht="15.75">
      <c r="A71" s="8" t="s">
        <v>16</v>
      </c>
      <c r="B71" s="16">
        <v>0</v>
      </c>
      <c r="C71" s="14">
        <v>0</v>
      </c>
      <c r="D71" s="14">
        <v>5</v>
      </c>
      <c r="E71" s="14">
        <v>13000</v>
      </c>
      <c r="F71" s="14">
        <v>0</v>
      </c>
      <c r="G71" s="14">
        <v>0</v>
      </c>
      <c r="H71" s="14">
        <v>0</v>
      </c>
      <c r="I71" s="14">
        <v>0</v>
      </c>
      <c r="J71" s="14">
        <v>2</v>
      </c>
      <c r="K71" s="14">
        <v>8000</v>
      </c>
      <c r="L71" s="14">
        <v>0</v>
      </c>
      <c r="M71" s="14">
        <v>0</v>
      </c>
      <c r="N71" s="14">
        <v>4</v>
      </c>
      <c r="O71" s="14">
        <v>5500</v>
      </c>
      <c r="P71" s="14">
        <v>1</v>
      </c>
      <c r="Q71" s="14">
        <v>2000</v>
      </c>
      <c r="R71" s="16">
        <v>5</v>
      </c>
      <c r="S71" s="14">
        <v>280000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2</v>
      </c>
      <c r="AA71" s="14">
        <v>209000</v>
      </c>
      <c r="AB71" s="14">
        <v>2</v>
      </c>
      <c r="AC71" s="14">
        <v>1860</v>
      </c>
      <c r="AD71" s="14">
        <v>13</v>
      </c>
      <c r="AE71" s="14">
        <v>298670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5">
        <v>0</v>
      </c>
      <c r="AL71" s="16">
        <v>1</v>
      </c>
      <c r="AM71" s="14" t="s">
        <v>115</v>
      </c>
      <c r="AN71" s="16">
        <v>6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6">
        <v>0</v>
      </c>
      <c r="AU71" s="14">
        <v>2</v>
      </c>
      <c r="AV71" s="14">
        <v>0</v>
      </c>
      <c r="AW71" s="14">
        <v>0</v>
      </c>
      <c r="AX71" s="16">
        <v>24</v>
      </c>
      <c r="AY71" s="14">
        <f>1500+468+192+1033+259+656+252+595+360+677+208+585+435+905+209+682+195+768+387+750+812+670+247+375</f>
        <v>13220</v>
      </c>
      <c r="AZ71" s="15">
        <f>7100+3700+5780+10700+4590+11540+4270+10780+6750+14150+20800+19600+13400+43900+3400+20500+14800+47000+55000+20000+7600+35000+17900+8500</f>
        <v>406760</v>
      </c>
      <c r="BA71" s="16">
        <v>6</v>
      </c>
      <c r="BB71" s="14">
        <v>3</v>
      </c>
      <c r="BC71" s="14">
        <v>2</v>
      </c>
      <c r="BD71" s="14">
        <v>4</v>
      </c>
      <c r="BE71" s="14">
        <v>0</v>
      </c>
      <c r="BF71" s="14">
        <v>4</v>
      </c>
      <c r="BG71" s="14">
        <v>6</v>
      </c>
      <c r="BH71" s="14">
        <v>1</v>
      </c>
      <c r="BI71" s="14">
        <v>0</v>
      </c>
      <c r="BJ71" s="14">
        <v>1</v>
      </c>
      <c r="BK71" s="14">
        <v>0</v>
      </c>
      <c r="BL71" s="14">
        <v>2</v>
      </c>
      <c r="BM71" s="17">
        <v>3</v>
      </c>
      <c r="BN71" s="18">
        <v>21</v>
      </c>
      <c r="BO71" s="8" t="s">
        <v>16</v>
      </c>
    </row>
    <row r="72" spans="1:67" ht="15.75">
      <c r="A72" s="8" t="s">
        <v>171</v>
      </c>
      <c r="B72" s="16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6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5">
        <v>0</v>
      </c>
      <c r="AL72" s="16">
        <v>0</v>
      </c>
      <c r="AM72" s="14">
        <v>0</v>
      </c>
      <c r="AN72" s="16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6">
        <v>0</v>
      </c>
      <c r="AU72" s="14">
        <v>0</v>
      </c>
      <c r="AV72" s="14">
        <v>0</v>
      </c>
      <c r="AW72" s="14">
        <v>0</v>
      </c>
      <c r="AX72" s="16">
        <v>3</v>
      </c>
      <c r="AY72" s="14">
        <f>150+20+250</f>
        <v>420</v>
      </c>
      <c r="AZ72" s="15">
        <v>0</v>
      </c>
      <c r="BA72" s="16">
        <v>1</v>
      </c>
      <c r="BB72" s="14">
        <v>0</v>
      </c>
      <c r="BC72" s="14">
        <v>1</v>
      </c>
      <c r="BD72" s="14">
        <v>0</v>
      </c>
      <c r="BE72" s="14">
        <v>1</v>
      </c>
      <c r="BF72" s="14">
        <v>0</v>
      </c>
      <c r="BG72" s="14">
        <v>1</v>
      </c>
      <c r="BH72" s="14">
        <v>0</v>
      </c>
      <c r="BI72" s="14">
        <v>3</v>
      </c>
      <c r="BJ72" s="14">
        <v>3</v>
      </c>
      <c r="BK72" s="14">
        <v>2</v>
      </c>
      <c r="BL72" s="14">
        <v>0</v>
      </c>
      <c r="BM72" s="17">
        <v>0</v>
      </c>
      <c r="BN72" s="18">
        <v>0</v>
      </c>
      <c r="BO72" s="8" t="s">
        <v>16</v>
      </c>
    </row>
    <row r="73" spans="1:67" ht="15.75">
      <c r="A73" s="8" t="s">
        <v>172</v>
      </c>
      <c r="B73" s="16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6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5">
        <v>0</v>
      </c>
      <c r="AL73" s="16">
        <v>0</v>
      </c>
      <c r="AM73" s="14">
        <v>0</v>
      </c>
      <c r="AN73" s="16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6">
        <v>0</v>
      </c>
      <c r="AU73" s="14">
        <v>0</v>
      </c>
      <c r="AV73" s="14">
        <v>0</v>
      </c>
      <c r="AW73" s="14">
        <v>0</v>
      </c>
      <c r="AX73" s="16">
        <v>5</v>
      </c>
      <c r="AY73" s="14">
        <v>90</v>
      </c>
      <c r="AZ73" s="15">
        <v>0</v>
      </c>
      <c r="BA73" s="16">
        <v>1</v>
      </c>
      <c r="BB73" s="14">
        <v>0</v>
      </c>
      <c r="BC73" s="14">
        <v>0</v>
      </c>
      <c r="BD73" s="14">
        <v>0</v>
      </c>
      <c r="BE73" s="14">
        <v>0</v>
      </c>
      <c r="BF73" s="14">
        <v>0</v>
      </c>
      <c r="BG73" s="14">
        <v>1</v>
      </c>
      <c r="BH73" s="14">
        <v>0</v>
      </c>
      <c r="BI73" s="14">
        <v>2</v>
      </c>
      <c r="BJ73" s="14">
        <v>4</v>
      </c>
      <c r="BK73" s="14">
        <v>2</v>
      </c>
      <c r="BL73" s="14">
        <v>0</v>
      </c>
      <c r="BM73" s="17">
        <v>0</v>
      </c>
      <c r="BN73" s="18">
        <v>0</v>
      </c>
      <c r="BO73" s="8" t="s">
        <v>16</v>
      </c>
    </row>
    <row r="74" spans="1:67" ht="15.75">
      <c r="A74" s="8" t="s">
        <v>173</v>
      </c>
      <c r="B74" s="16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6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5">
        <v>0</v>
      </c>
      <c r="AL74" s="16">
        <v>0</v>
      </c>
      <c r="AM74" s="14">
        <v>0</v>
      </c>
      <c r="AN74" s="16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6">
        <v>0</v>
      </c>
      <c r="AU74" s="14">
        <v>0</v>
      </c>
      <c r="AV74" s="14">
        <v>0</v>
      </c>
      <c r="AW74" s="14">
        <v>0</v>
      </c>
      <c r="AX74" s="16">
        <v>1</v>
      </c>
      <c r="AY74" s="14">
        <v>75</v>
      </c>
      <c r="AZ74" s="15">
        <v>350</v>
      </c>
      <c r="BA74" s="16">
        <v>1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1</v>
      </c>
      <c r="BJ74" s="14">
        <v>0</v>
      </c>
      <c r="BK74" s="14">
        <v>0</v>
      </c>
      <c r="BL74" s="14">
        <v>0</v>
      </c>
      <c r="BM74" s="17">
        <v>0</v>
      </c>
      <c r="BN74" s="18">
        <v>0</v>
      </c>
      <c r="BO74" s="8" t="s">
        <v>17</v>
      </c>
    </row>
    <row r="75" spans="1:67" ht="15.75">
      <c r="A75" s="8" t="s">
        <v>17</v>
      </c>
      <c r="B75" s="16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6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5">
        <v>0</v>
      </c>
      <c r="AL75" s="16">
        <v>0</v>
      </c>
      <c r="AM75" s="14">
        <v>0</v>
      </c>
      <c r="AN75" s="16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6">
        <v>0</v>
      </c>
      <c r="AU75" s="14">
        <v>0</v>
      </c>
      <c r="AV75" s="14">
        <v>0</v>
      </c>
      <c r="AW75" s="14">
        <v>0</v>
      </c>
      <c r="AX75" s="16">
        <v>2</v>
      </c>
      <c r="AY75" s="14">
        <f>90+46</f>
        <v>136</v>
      </c>
      <c r="AZ75" s="15">
        <f>500+200</f>
        <v>700</v>
      </c>
      <c r="BA75" s="16">
        <v>1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2</v>
      </c>
      <c r="BJ75" s="14">
        <v>2</v>
      </c>
      <c r="BK75" s="14">
        <v>1</v>
      </c>
      <c r="BL75" s="14">
        <v>1</v>
      </c>
      <c r="BM75" s="17">
        <v>0</v>
      </c>
      <c r="BN75" s="18">
        <v>0</v>
      </c>
      <c r="BO75" s="8" t="s">
        <v>17</v>
      </c>
    </row>
    <row r="76" spans="1:67" ht="15.75">
      <c r="A76" s="8" t="s">
        <v>18</v>
      </c>
      <c r="B76" s="16">
        <v>0</v>
      </c>
      <c r="C76" s="14">
        <v>0</v>
      </c>
      <c r="D76" s="14">
        <v>3</v>
      </c>
      <c r="E76" s="14">
        <v>4350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6">
        <v>2</v>
      </c>
      <c r="S76" s="14">
        <v>1700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1</v>
      </c>
      <c r="AA76" s="14">
        <v>24000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5">
        <v>0</v>
      </c>
      <c r="AL76" s="16">
        <v>0</v>
      </c>
      <c r="AM76" s="14">
        <v>0</v>
      </c>
      <c r="AN76" s="16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6">
        <v>5</v>
      </c>
      <c r="AU76" s="14">
        <v>0</v>
      </c>
      <c r="AV76" s="14">
        <v>0</v>
      </c>
      <c r="AW76" s="14">
        <v>0</v>
      </c>
      <c r="AX76" s="16">
        <v>7</v>
      </c>
      <c r="AY76" s="14">
        <f>669+330+273+134+198+243+204</f>
        <v>2051</v>
      </c>
      <c r="AZ76" s="15">
        <f>12000+1330+2280+1300+3300+4130+1780</f>
        <v>26120</v>
      </c>
      <c r="BA76" s="16">
        <v>1</v>
      </c>
      <c r="BB76" s="14">
        <v>0</v>
      </c>
      <c r="BC76" s="14">
        <v>1</v>
      </c>
      <c r="BD76" s="14">
        <v>2</v>
      </c>
      <c r="BE76" s="14">
        <v>0</v>
      </c>
      <c r="BF76" s="14">
        <v>0</v>
      </c>
      <c r="BG76" s="14">
        <v>0</v>
      </c>
      <c r="BH76" s="14">
        <v>0</v>
      </c>
      <c r="BI76" s="14">
        <v>1</v>
      </c>
      <c r="BJ76" s="14">
        <v>4</v>
      </c>
      <c r="BK76" s="14">
        <v>0</v>
      </c>
      <c r="BL76" s="14">
        <v>1</v>
      </c>
      <c r="BM76" s="17">
        <v>1</v>
      </c>
      <c r="BN76" s="18">
        <v>6</v>
      </c>
      <c r="BO76" s="8" t="s">
        <v>18</v>
      </c>
    </row>
    <row r="77" spans="1:67" ht="15.75">
      <c r="A77" s="8" t="s">
        <v>174</v>
      </c>
      <c r="B77" s="16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6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5">
        <v>0</v>
      </c>
      <c r="AL77" s="16">
        <v>0</v>
      </c>
      <c r="AM77" s="14">
        <v>0</v>
      </c>
      <c r="AN77" s="16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6">
        <v>0</v>
      </c>
      <c r="AU77" s="14">
        <v>0</v>
      </c>
      <c r="AV77" s="14">
        <v>0</v>
      </c>
      <c r="AW77" s="14">
        <v>0</v>
      </c>
      <c r="AX77" s="16">
        <v>0</v>
      </c>
      <c r="AY77" s="14">
        <v>0</v>
      </c>
      <c r="AZ77" s="15">
        <v>0</v>
      </c>
      <c r="BA77" s="16">
        <v>0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7">
        <v>0</v>
      </c>
      <c r="BN77" s="18">
        <v>0</v>
      </c>
      <c r="BO77" s="8" t="s">
        <v>18</v>
      </c>
    </row>
    <row r="78" spans="1:67" ht="15.75">
      <c r="A78" s="8" t="s">
        <v>175</v>
      </c>
      <c r="B78" s="16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6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5">
        <v>0</v>
      </c>
      <c r="AL78" s="16">
        <v>0</v>
      </c>
      <c r="AM78" s="14">
        <v>0</v>
      </c>
      <c r="AN78" s="16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6">
        <v>0</v>
      </c>
      <c r="AU78" s="14">
        <v>0</v>
      </c>
      <c r="AV78" s="14">
        <v>0</v>
      </c>
      <c r="AW78" s="14">
        <v>0</v>
      </c>
      <c r="AX78" s="16">
        <v>0</v>
      </c>
      <c r="AY78" s="14">
        <v>0</v>
      </c>
      <c r="AZ78" s="15">
        <v>0</v>
      </c>
      <c r="BA78" s="16">
        <v>0</v>
      </c>
      <c r="BB78" s="14">
        <v>0</v>
      </c>
      <c r="BC78" s="14">
        <v>0</v>
      </c>
      <c r="BD78" s="14">
        <v>0</v>
      </c>
      <c r="BE78" s="14">
        <v>0</v>
      </c>
      <c r="BF78" s="14">
        <v>0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7">
        <v>0</v>
      </c>
      <c r="BN78" s="18">
        <v>0</v>
      </c>
      <c r="BO78" s="8" t="s">
        <v>18</v>
      </c>
    </row>
    <row r="79" spans="1:67" ht="15.75">
      <c r="A79" s="8" t="s">
        <v>176</v>
      </c>
      <c r="B79" s="16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6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5">
        <v>0</v>
      </c>
      <c r="AL79" s="16">
        <v>0</v>
      </c>
      <c r="AM79" s="14">
        <v>0</v>
      </c>
      <c r="AN79" s="16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6">
        <v>0</v>
      </c>
      <c r="AU79" s="14">
        <v>0</v>
      </c>
      <c r="AV79" s="14">
        <v>0</v>
      </c>
      <c r="AW79" s="14">
        <v>0</v>
      </c>
      <c r="AX79" s="16">
        <v>1</v>
      </c>
      <c r="AY79" s="14">
        <v>75</v>
      </c>
      <c r="AZ79" s="15">
        <v>220</v>
      </c>
      <c r="BA79" s="16">
        <v>1</v>
      </c>
      <c r="BB79" s="14">
        <v>1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1</v>
      </c>
      <c r="BJ79" s="14">
        <v>1</v>
      </c>
      <c r="BK79" s="14">
        <v>0</v>
      </c>
      <c r="BL79" s="14">
        <v>0</v>
      </c>
      <c r="BM79" s="17">
        <v>0</v>
      </c>
      <c r="BN79" s="18">
        <v>0</v>
      </c>
      <c r="BO79" s="8" t="s">
        <v>18</v>
      </c>
    </row>
    <row r="80" spans="1:67" ht="15.75">
      <c r="A80" s="8" t="s">
        <v>177</v>
      </c>
      <c r="B80" s="16">
        <v>1</v>
      </c>
      <c r="C80" s="14">
        <v>80</v>
      </c>
      <c r="D80" s="14">
        <v>1</v>
      </c>
      <c r="E80" s="14" t="s">
        <v>115</v>
      </c>
      <c r="F80" s="14">
        <v>0</v>
      </c>
      <c r="G80" s="14">
        <v>0</v>
      </c>
      <c r="H80" s="14">
        <v>2</v>
      </c>
      <c r="I80" s="14">
        <v>40</v>
      </c>
      <c r="J80" s="14">
        <v>1</v>
      </c>
      <c r="K80" s="14">
        <v>90</v>
      </c>
      <c r="L80" s="14">
        <v>0</v>
      </c>
      <c r="M80" s="14">
        <v>0</v>
      </c>
      <c r="N80" s="14">
        <v>1</v>
      </c>
      <c r="O80" s="14">
        <v>200</v>
      </c>
      <c r="P80" s="14">
        <v>1</v>
      </c>
      <c r="Q80" s="14">
        <v>200</v>
      </c>
      <c r="R80" s="16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5">
        <v>0</v>
      </c>
      <c r="AL80" s="16">
        <v>0</v>
      </c>
      <c r="AM80" s="14">
        <v>0</v>
      </c>
      <c r="AN80" s="16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6">
        <v>0</v>
      </c>
      <c r="AU80" s="14">
        <v>0</v>
      </c>
      <c r="AV80" s="14">
        <v>0</v>
      </c>
      <c r="AW80" s="14">
        <v>0</v>
      </c>
      <c r="AX80" s="16">
        <v>3</v>
      </c>
      <c r="AY80" s="14">
        <f>71+20</f>
        <v>91</v>
      </c>
      <c r="AZ80" s="15">
        <v>100</v>
      </c>
      <c r="BA80" s="16">
        <v>1</v>
      </c>
      <c r="BB80" s="14">
        <v>0</v>
      </c>
      <c r="BC80" s="14">
        <v>0</v>
      </c>
      <c r="BD80" s="14">
        <v>0</v>
      </c>
      <c r="BE80" s="14">
        <v>0</v>
      </c>
      <c r="BF80" s="14">
        <v>0</v>
      </c>
      <c r="BG80" s="14">
        <v>1</v>
      </c>
      <c r="BH80" s="14">
        <v>0</v>
      </c>
      <c r="BI80" s="14">
        <v>1</v>
      </c>
      <c r="BJ80" s="14">
        <v>1</v>
      </c>
      <c r="BK80" s="14">
        <v>1</v>
      </c>
      <c r="BL80" s="14">
        <v>0</v>
      </c>
      <c r="BM80" s="17">
        <v>0</v>
      </c>
      <c r="BN80" s="18">
        <v>0</v>
      </c>
      <c r="BO80" s="8" t="s">
        <v>18</v>
      </c>
    </row>
    <row r="81" spans="1:67" ht="15.75">
      <c r="A81" s="8" t="s">
        <v>178</v>
      </c>
      <c r="B81" s="16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6" t="s">
        <v>115</v>
      </c>
      <c r="S81" s="14">
        <v>11000</v>
      </c>
      <c r="T81" s="14">
        <v>10</v>
      </c>
      <c r="U81" s="14">
        <v>13500</v>
      </c>
      <c r="V81" s="14">
        <v>0</v>
      </c>
      <c r="W81" s="14">
        <v>0</v>
      </c>
      <c r="X81" s="14">
        <v>0</v>
      </c>
      <c r="Y81" s="14">
        <v>0</v>
      </c>
      <c r="Z81" s="14">
        <v>1</v>
      </c>
      <c r="AA81" s="14">
        <v>71231.886</v>
      </c>
      <c r="AB81" s="14">
        <v>1</v>
      </c>
      <c r="AC81" s="14">
        <v>37677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5">
        <v>0</v>
      </c>
      <c r="AL81" s="16">
        <v>0</v>
      </c>
      <c r="AM81" s="14">
        <v>0</v>
      </c>
      <c r="AN81" s="16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6">
        <v>1</v>
      </c>
      <c r="AU81" s="14">
        <v>2</v>
      </c>
      <c r="AV81" s="14">
        <v>0</v>
      </c>
      <c r="AW81" s="14">
        <v>0</v>
      </c>
      <c r="AX81" s="16">
        <v>3</v>
      </c>
      <c r="AY81" s="14">
        <f>302.65+250+1200</f>
        <v>1752.65</v>
      </c>
      <c r="AZ81" s="15">
        <f>8000+10000+5000</f>
        <v>23000</v>
      </c>
      <c r="BA81" s="16">
        <v>0</v>
      </c>
      <c r="BB81" s="14">
        <v>1</v>
      </c>
      <c r="BC81" s="14">
        <v>1</v>
      </c>
      <c r="BD81" s="14">
        <v>1</v>
      </c>
      <c r="BE81" s="14">
        <v>1</v>
      </c>
      <c r="BF81" s="14">
        <v>0</v>
      </c>
      <c r="BG81" s="14">
        <v>0</v>
      </c>
      <c r="BH81" s="14">
        <v>0</v>
      </c>
      <c r="BI81" s="14">
        <v>1</v>
      </c>
      <c r="BJ81" s="14">
        <v>1</v>
      </c>
      <c r="BK81" s="14">
        <v>0</v>
      </c>
      <c r="BL81" s="14">
        <v>0</v>
      </c>
      <c r="BM81" s="17">
        <v>0</v>
      </c>
      <c r="BN81" s="18">
        <v>0</v>
      </c>
      <c r="BO81" s="8" t="s">
        <v>18</v>
      </c>
    </row>
    <row r="82" spans="1:67" ht="15.75">
      <c r="A82" s="8" t="s">
        <v>179</v>
      </c>
      <c r="B82" s="16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6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5">
        <v>0</v>
      </c>
      <c r="AL82" s="16">
        <v>0</v>
      </c>
      <c r="AM82" s="14">
        <v>0</v>
      </c>
      <c r="AN82" s="16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6">
        <v>0</v>
      </c>
      <c r="AU82" s="14">
        <v>0</v>
      </c>
      <c r="AV82" s="14">
        <v>0</v>
      </c>
      <c r="AW82" s="14">
        <v>0</v>
      </c>
      <c r="AX82" s="16">
        <v>1</v>
      </c>
      <c r="AY82" s="14" t="s">
        <v>115</v>
      </c>
      <c r="AZ82" s="15">
        <v>306</v>
      </c>
      <c r="BA82" s="16">
        <v>1</v>
      </c>
      <c r="BB82" s="14">
        <v>0</v>
      </c>
      <c r="BC82" s="14">
        <v>0</v>
      </c>
      <c r="BD82" s="14"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1</v>
      </c>
      <c r="BJ82" s="14">
        <v>1</v>
      </c>
      <c r="BK82" s="14">
        <v>0</v>
      </c>
      <c r="BL82" s="14">
        <v>0</v>
      </c>
      <c r="BM82" s="17">
        <v>0</v>
      </c>
      <c r="BN82" s="18">
        <v>0</v>
      </c>
      <c r="BO82" s="8" t="s">
        <v>18</v>
      </c>
    </row>
    <row r="83" spans="1:67" ht="15.75">
      <c r="A83" s="8" t="s">
        <v>180</v>
      </c>
      <c r="B83" s="16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6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5">
        <v>0</v>
      </c>
      <c r="AL83" s="16">
        <v>0</v>
      </c>
      <c r="AM83" s="14">
        <v>0</v>
      </c>
      <c r="AN83" s="16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6">
        <v>0</v>
      </c>
      <c r="AU83" s="14">
        <v>0</v>
      </c>
      <c r="AV83" s="14">
        <v>0</v>
      </c>
      <c r="AW83" s="14">
        <v>0</v>
      </c>
      <c r="AX83" s="16">
        <v>6</v>
      </c>
      <c r="AY83" s="14">
        <f>450+405+125+46+36+10</f>
        <v>1072</v>
      </c>
      <c r="AZ83" s="15">
        <f>16000+8000+1600+99+88.56+165</f>
        <v>25952.56</v>
      </c>
      <c r="BA83" s="16">
        <v>1</v>
      </c>
      <c r="BB83" s="14">
        <v>1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v>0</v>
      </c>
      <c r="BI83" s="14">
        <v>3</v>
      </c>
      <c r="BJ83" s="14">
        <v>5</v>
      </c>
      <c r="BK83" s="14">
        <v>0</v>
      </c>
      <c r="BL83" s="14">
        <v>0</v>
      </c>
      <c r="BM83" s="17">
        <v>0</v>
      </c>
      <c r="BN83" s="18">
        <v>0</v>
      </c>
      <c r="BO83" s="8" t="s">
        <v>19</v>
      </c>
    </row>
    <row r="84" spans="1:67" ht="15.75">
      <c r="A84" s="8" t="s">
        <v>181</v>
      </c>
      <c r="B84" s="16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6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5">
        <v>0</v>
      </c>
      <c r="AL84" s="16">
        <v>0</v>
      </c>
      <c r="AM84" s="14">
        <v>0</v>
      </c>
      <c r="AN84" s="16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6">
        <v>0</v>
      </c>
      <c r="AU84" s="14">
        <v>0</v>
      </c>
      <c r="AV84" s="14">
        <v>0</v>
      </c>
      <c r="AW84" s="14">
        <v>0</v>
      </c>
      <c r="AX84" s="16">
        <v>3</v>
      </c>
      <c r="AY84" s="14">
        <f>200+360+200</f>
        <v>760</v>
      </c>
      <c r="AZ84" s="15">
        <f>12000+5900+5000</f>
        <v>22900</v>
      </c>
      <c r="BA84" s="16">
        <v>1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2</v>
      </c>
      <c r="BJ84" s="14">
        <v>3</v>
      </c>
      <c r="BK84" s="14">
        <v>0</v>
      </c>
      <c r="BL84" s="14">
        <v>0</v>
      </c>
      <c r="BM84" s="17">
        <v>0</v>
      </c>
      <c r="BN84" s="18">
        <v>0</v>
      </c>
      <c r="BO84" s="8" t="s">
        <v>19</v>
      </c>
    </row>
    <row r="85" spans="1:67" ht="15.75">
      <c r="A85" s="8" t="s">
        <v>182</v>
      </c>
      <c r="B85" s="16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6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5">
        <v>0</v>
      </c>
      <c r="AL85" s="16">
        <v>0</v>
      </c>
      <c r="AM85" s="14">
        <v>0</v>
      </c>
      <c r="AN85" s="16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6">
        <v>0</v>
      </c>
      <c r="AU85" s="14">
        <v>0</v>
      </c>
      <c r="AV85" s="14">
        <v>0</v>
      </c>
      <c r="AW85" s="14">
        <v>0</v>
      </c>
      <c r="AX85" s="16">
        <v>14</v>
      </c>
      <c r="AY85" s="14">
        <f>12*60+80+70</f>
        <v>870</v>
      </c>
      <c r="AZ85" s="15">
        <f>10*72+60+360+3432+4707</f>
        <v>9279</v>
      </c>
      <c r="BA85" s="16">
        <v>1</v>
      </c>
      <c r="BB85" s="14">
        <v>0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4">
        <v>1</v>
      </c>
      <c r="BJ85" s="14">
        <v>13</v>
      </c>
      <c r="BK85" s="14">
        <v>0</v>
      </c>
      <c r="BL85" s="14">
        <v>0</v>
      </c>
      <c r="BM85" s="17">
        <v>0</v>
      </c>
      <c r="BN85" s="18">
        <v>0</v>
      </c>
      <c r="BO85" s="8" t="s">
        <v>19</v>
      </c>
    </row>
    <row r="86" spans="1:67" ht="15.75">
      <c r="A86" s="8" t="s">
        <v>183</v>
      </c>
      <c r="B86" s="16">
        <v>0</v>
      </c>
      <c r="C86" s="14">
        <v>0</v>
      </c>
      <c r="D86" s="14">
        <v>1</v>
      </c>
      <c r="E86" s="14">
        <v>900</v>
      </c>
      <c r="F86" s="14">
        <v>0</v>
      </c>
      <c r="G86" s="14">
        <v>0</v>
      </c>
      <c r="H86" s="14">
        <v>4</v>
      </c>
      <c r="I86" s="14">
        <v>10</v>
      </c>
      <c r="J86" s="14">
        <v>1</v>
      </c>
      <c r="K86" s="14">
        <v>250</v>
      </c>
      <c r="L86" s="14">
        <v>0</v>
      </c>
      <c r="M86" s="14">
        <v>0</v>
      </c>
      <c r="N86" s="14">
        <v>1</v>
      </c>
      <c r="O86" s="14">
        <v>20</v>
      </c>
      <c r="P86" s="14">
        <v>1</v>
      </c>
      <c r="Q86" s="14">
        <v>250</v>
      </c>
      <c r="R86" s="16">
        <v>1</v>
      </c>
      <c r="S86" s="14">
        <v>60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5">
        <v>0</v>
      </c>
      <c r="AL86" s="16">
        <v>0</v>
      </c>
      <c r="AM86" s="14">
        <v>0</v>
      </c>
      <c r="AN86" s="16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6">
        <v>0</v>
      </c>
      <c r="AU86" s="14">
        <v>0</v>
      </c>
      <c r="AV86" s="14">
        <v>0</v>
      </c>
      <c r="AW86" s="14">
        <v>0</v>
      </c>
      <c r="AX86" s="16">
        <v>3</v>
      </c>
      <c r="AY86" s="14">
        <f>265+110+80</f>
        <v>455</v>
      </c>
      <c r="AZ86" s="15">
        <f>1060+440+320</f>
        <v>1820</v>
      </c>
      <c r="BA86" s="16">
        <v>2</v>
      </c>
      <c r="BB86" s="14">
        <v>0</v>
      </c>
      <c r="BC86" s="14">
        <v>0</v>
      </c>
      <c r="BD86" s="14"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1</v>
      </c>
      <c r="BJ86" s="14">
        <v>3</v>
      </c>
      <c r="BK86" s="14">
        <v>0</v>
      </c>
      <c r="BL86" s="14">
        <v>0</v>
      </c>
      <c r="BM86" s="17">
        <v>0</v>
      </c>
      <c r="BN86" s="18">
        <v>3</v>
      </c>
      <c r="BO86" s="8" t="s">
        <v>19</v>
      </c>
    </row>
    <row r="87" spans="1:67" ht="15.75">
      <c r="A87" s="8" t="s">
        <v>184</v>
      </c>
      <c r="B87" s="16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6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5">
        <v>0</v>
      </c>
      <c r="AL87" s="16">
        <v>0</v>
      </c>
      <c r="AM87" s="14">
        <v>0</v>
      </c>
      <c r="AN87" s="16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6">
        <v>0</v>
      </c>
      <c r="AU87" s="14">
        <v>0</v>
      </c>
      <c r="AV87" s="14">
        <v>0</v>
      </c>
      <c r="AW87" s="14">
        <v>0</v>
      </c>
      <c r="AX87" s="16">
        <v>3</v>
      </c>
      <c r="AY87" s="14">
        <f>220+360+160</f>
        <v>740</v>
      </c>
      <c r="AZ87" s="15">
        <f>12200+5900+4500</f>
        <v>22600</v>
      </c>
      <c r="BA87" s="16">
        <v>1</v>
      </c>
      <c r="BB87" s="14">
        <v>0</v>
      </c>
      <c r="BC87" s="14">
        <v>0</v>
      </c>
      <c r="BD87" s="14">
        <v>0</v>
      </c>
      <c r="BE87" s="14">
        <v>0</v>
      </c>
      <c r="BF87" s="14">
        <v>0</v>
      </c>
      <c r="BG87" s="14">
        <v>0</v>
      </c>
      <c r="BH87" s="14">
        <v>0</v>
      </c>
      <c r="BI87" s="14">
        <v>2</v>
      </c>
      <c r="BJ87" s="14">
        <v>3</v>
      </c>
      <c r="BK87" s="14">
        <v>0</v>
      </c>
      <c r="BL87" s="14">
        <v>0</v>
      </c>
      <c r="BM87" s="17">
        <v>0</v>
      </c>
      <c r="BN87" s="18">
        <v>0</v>
      </c>
      <c r="BO87" s="8" t="s">
        <v>19</v>
      </c>
    </row>
    <row r="88" spans="1:67" ht="15.75">
      <c r="A88" s="8" t="s">
        <v>185</v>
      </c>
      <c r="B88" s="16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6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5">
        <v>0</v>
      </c>
      <c r="AL88" s="16">
        <v>1</v>
      </c>
      <c r="AM88" s="14">
        <v>10</v>
      </c>
      <c r="AN88" s="16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6">
        <v>0</v>
      </c>
      <c r="AU88" s="14">
        <v>0</v>
      </c>
      <c r="AV88" s="14">
        <v>0</v>
      </c>
      <c r="AW88" s="14">
        <v>0</v>
      </c>
      <c r="AX88" s="16">
        <v>5</v>
      </c>
      <c r="AY88" s="14">
        <f>120+60+80+16+40</f>
        <v>316</v>
      </c>
      <c r="AZ88" s="15">
        <f>600+300+800+60+60</f>
        <v>1820</v>
      </c>
      <c r="BA88" s="16">
        <v>1</v>
      </c>
      <c r="BB88" s="14">
        <v>0</v>
      </c>
      <c r="BC88" s="14">
        <v>0</v>
      </c>
      <c r="BD88" s="14">
        <v>0</v>
      </c>
      <c r="BE88" s="14">
        <v>0</v>
      </c>
      <c r="BF88" s="14">
        <v>0</v>
      </c>
      <c r="BG88" s="14">
        <v>0</v>
      </c>
      <c r="BH88" s="14">
        <v>0</v>
      </c>
      <c r="BI88" s="14">
        <v>3</v>
      </c>
      <c r="BJ88" s="14">
        <v>2</v>
      </c>
      <c r="BK88" s="14">
        <v>0</v>
      </c>
      <c r="BL88" s="14">
        <v>0</v>
      </c>
      <c r="BM88" s="17">
        <v>0</v>
      </c>
      <c r="BN88" s="18">
        <v>0</v>
      </c>
      <c r="BO88" s="8" t="s">
        <v>19</v>
      </c>
    </row>
    <row r="89" spans="1:67" ht="15.75">
      <c r="A89" s="8" t="s">
        <v>186</v>
      </c>
      <c r="B89" s="16">
        <v>0</v>
      </c>
      <c r="C89" s="14">
        <v>0</v>
      </c>
      <c r="D89" s="14">
        <v>0</v>
      </c>
      <c r="E89" s="14">
        <v>0</v>
      </c>
      <c r="F89" s="14">
        <v>4</v>
      </c>
      <c r="G89" s="14">
        <v>80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6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5">
        <v>0</v>
      </c>
      <c r="AL89" s="16">
        <v>0</v>
      </c>
      <c r="AM89" s="14">
        <v>0</v>
      </c>
      <c r="AN89" s="16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6">
        <v>0</v>
      </c>
      <c r="AU89" s="14">
        <v>0</v>
      </c>
      <c r="AV89" s="14">
        <v>0</v>
      </c>
      <c r="AW89" s="14">
        <v>0</v>
      </c>
      <c r="AX89" s="16">
        <v>2</v>
      </c>
      <c r="AY89" s="14">
        <f>423+92</f>
        <v>515</v>
      </c>
      <c r="AZ89" s="15">
        <f>1700+440</f>
        <v>2140</v>
      </c>
      <c r="BA89" s="16">
        <v>2</v>
      </c>
      <c r="BB89" s="14">
        <v>0</v>
      </c>
      <c r="BC89" s="14">
        <v>0</v>
      </c>
      <c r="BD89" s="14"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2</v>
      </c>
      <c r="BJ89" s="14">
        <v>2</v>
      </c>
      <c r="BK89" s="14">
        <v>0</v>
      </c>
      <c r="BL89" s="14">
        <v>1</v>
      </c>
      <c r="BM89" s="17">
        <v>0</v>
      </c>
      <c r="BN89" s="18">
        <v>2</v>
      </c>
      <c r="BO89" s="8" t="s">
        <v>19</v>
      </c>
    </row>
    <row r="90" spans="1:67" ht="15.75">
      <c r="A90" s="8" t="s">
        <v>187</v>
      </c>
      <c r="B90" s="16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6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5">
        <v>0</v>
      </c>
      <c r="AL90" s="16">
        <v>0</v>
      </c>
      <c r="AM90" s="14">
        <v>0</v>
      </c>
      <c r="AN90" s="16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6">
        <v>1</v>
      </c>
      <c r="AU90" s="14">
        <v>0</v>
      </c>
      <c r="AV90" s="14">
        <v>0</v>
      </c>
      <c r="AW90" s="14">
        <v>0</v>
      </c>
      <c r="AX90" s="16">
        <v>5</v>
      </c>
      <c r="AY90" s="14">
        <f>40+150+200+153+270</f>
        <v>813</v>
      </c>
      <c r="AZ90" s="15">
        <f>100+675+800+400</f>
        <v>1975</v>
      </c>
      <c r="BA90" s="16">
        <v>0</v>
      </c>
      <c r="BB90" s="14">
        <v>0</v>
      </c>
      <c r="BC90" s="14">
        <v>0</v>
      </c>
      <c r="BD90" s="14">
        <v>0</v>
      </c>
      <c r="BE90" s="14">
        <v>0</v>
      </c>
      <c r="BF90" s="14">
        <v>0</v>
      </c>
      <c r="BG90" s="14">
        <v>0</v>
      </c>
      <c r="BH90" s="14">
        <v>0</v>
      </c>
      <c r="BI90" s="14">
        <v>1</v>
      </c>
      <c r="BJ90" s="14">
        <v>2</v>
      </c>
      <c r="BK90" s="14">
        <v>0</v>
      </c>
      <c r="BL90" s="14">
        <v>0</v>
      </c>
      <c r="BM90" s="17">
        <v>0</v>
      </c>
      <c r="BN90" s="18">
        <v>0</v>
      </c>
      <c r="BO90" s="8" t="s">
        <v>19</v>
      </c>
    </row>
    <row r="91" spans="1:67" ht="15.75">
      <c r="A91" s="8" t="s">
        <v>188</v>
      </c>
      <c r="B91" s="16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1</v>
      </c>
      <c r="K91" s="14" t="s">
        <v>115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6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5">
        <v>0</v>
      </c>
      <c r="AL91" s="16">
        <v>0</v>
      </c>
      <c r="AM91" s="14">
        <v>0</v>
      </c>
      <c r="AN91" s="16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6">
        <v>0</v>
      </c>
      <c r="AU91" s="14">
        <v>0</v>
      </c>
      <c r="AV91" s="14">
        <v>0</v>
      </c>
      <c r="AW91" s="14">
        <v>0</v>
      </c>
      <c r="AX91" s="16">
        <v>3</v>
      </c>
      <c r="AY91" s="14">
        <f>100+120+150</f>
        <v>370</v>
      </c>
      <c r="AZ91" s="15">
        <f>300+600+1500</f>
        <v>2400</v>
      </c>
      <c r="BA91" s="16">
        <v>2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0</v>
      </c>
      <c r="BI91" s="14">
        <v>3</v>
      </c>
      <c r="BJ91" s="14">
        <v>3</v>
      </c>
      <c r="BK91" s="14">
        <v>0</v>
      </c>
      <c r="BL91" s="14">
        <v>0</v>
      </c>
      <c r="BM91" s="17">
        <v>0</v>
      </c>
      <c r="BN91" s="18">
        <v>0</v>
      </c>
      <c r="BO91" s="8" t="s">
        <v>19</v>
      </c>
    </row>
    <row r="92" spans="1:67" ht="15.75">
      <c r="A92" s="8" t="s">
        <v>189</v>
      </c>
      <c r="B92" s="16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6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5">
        <v>0</v>
      </c>
      <c r="AL92" s="16">
        <v>0</v>
      </c>
      <c r="AM92" s="14">
        <v>0</v>
      </c>
      <c r="AN92" s="16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6">
        <v>0</v>
      </c>
      <c r="AU92" s="14">
        <v>0</v>
      </c>
      <c r="AV92" s="14">
        <v>0</v>
      </c>
      <c r="AW92" s="14">
        <v>0</v>
      </c>
      <c r="AX92" s="16">
        <v>3</v>
      </c>
      <c r="AY92" s="14">
        <f>40+150+150</f>
        <v>340</v>
      </c>
      <c r="AZ92" s="15">
        <f>100+450+1200</f>
        <v>1750</v>
      </c>
      <c r="BA92" s="16">
        <v>2</v>
      </c>
      <c r="BB92" s="14">
        <v>0</v>
      </c>
      <c r="BC92" s="14">
        <v>0</v>
      </c>
      <c r="BD92" s="14">
        <v>0</v>
      </c>
      <c r="BE92" s="14">
        <v>0</v>
      </c>
      <c r="BF92" s="14">
        <v>0</v>
      </c>
      <c r="BG92" s="14">
        <v>0</v>
      </c>
      <c r="BH92" s="14">
        <v>0</v>
      </c>
      <c r="BI92" s="14">
        <v>2</v>
      </c>
      <c r="BJ92" s="14">
        <v>1</v>
      </c>
      <c r="BK92" s="14">
        <v>1</v>
      </c>
      <c r="BL92" s="14">
        <v>1</v>
      </c>
      <c r="BM92" s="17">
        <v>0</v>
      </c>
      <c r="BN92" s="18">
        <v>0</v>
      </c>
      <c r="BO92" s="8" t="s">
        <v>19</v>
      </c>
    </row>
    <row r="93" spans="1:67" ht="15.75">
      <c r="A93" s="8" t="s">
        <v>190</v>
      </c>
      <c r="B93" s="16">
        <v>0</v>
      </c>
      <c r="C93" s="14">
        <v>0</v>
      </c>
      <c r="D93" s="14">
        <v>1</v>
      </c>
      <c r="E93" s="14">
        <v>4000</v>
      </c>
      <c r="F93" s="14">
        <v>0</v>
      </c>
      <c r="G93" s="14">
        <v>0</v>
      </c>
      <c r="H93" s="14">
        <v>0</v>
      </c>
      <c r="I93" s="14">
        <v>0</v>
      </c>
      <c r="J93" s="14">
        <v>1</v>
      </c>
      <c r="K93" s="14" t="s">
        <v>115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6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5">
        <v>0</v>
      </c>
      <c r="AL93" s="16">
        <v>0</v>
      </c>
      <c r="AM93" s="14">
        <v>0</v>
      </c>
      <c r="AN93" s="16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6">
        <v>2</v>
      </c>
      <c r="AU93" s="14">
        <v>0</v>
      </c>
      <c r="AV93" s="14">
        <v>0</v>
      </c>
      <c r="AW93" s="14">
        <v>0</v>
      </c>
      <c r="AX93" s="16">
        <v>5</v>
      </c>
      <c r="AY93" s="14">
        <f>300+200+400+50+50</f>
        <v>1000</v>
      </c>
      <c r="AZ93" s="15">
        <f>800+500+900+100+70</f>
        <v>2370</v>
      </c>
      <c r="BA93" s="16">
        <v>1</v>
      </c>
      <c r="BB93" s="14">
        <v>0</v>
      </c>
      <c r="BC93" s="14">
        <v>0</v>
      </c>
      <c r="BD93" s="14">
        <v>0</v>
      </c>
      <c r="BE93" s="14">
        <v>0</v>
      </c>
      <c r="BF93" s="14">
        <v>0</v>
      </c>
      <c r="BG93" s="14">
        <v>0</v>
      </c>
      <c r="BH93" s="14">
        <v>0</v>
      </c>
      <c r="BI93" s="14">
        <v>1</v>
      </c>
      <c r="BJ93" s="14">
        <v>3</v>
      </c>
      <c r="BK93" s="14">
        <v>0</v>
      </c>
      <c r="BL93" s="14">
        <v>0</v>
      </c>
      <c r="BM93" s="17">
        <v>0</v>
      </c>
      <c r="BN93" s="18">
        <v>0</v>
      </c>
      <c r="BO93" s="8" t="s">
        <v>19</v>
      </c>
    </row>
    <row r="94" spans="1:67" ht="15.75">
      <c r="A94" s="8" t="s">
        <v>191</v>
      </c>
      <c r="B94" s="16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2</v>
      </c>
      <c r="I94" s="14">
        <v>18.6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6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5">
        <v>0</v>
      </c>
      <c r="AL94" s="16">
        <v>0</v>
      </c>
      <c r="AM94" s="14">
        <v>0</v>
      </c>
      <c r="AN94" s="16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6">
        <v>0</v>
      </c>
      <c r="AU94" s="14">
        <v>0</v>
      </c>
      <c r="AV94" s="14">
        <v>0</v>
      </c>
      <c r="AW94" s="14">
        <v>0</v>
      </c>
      <c r="AX94" s="16">
        <v>2</v>
      </c>
      <c r="AY94" s="14">
        <f>35.8+22.7</f>
        <v>58.5</v>
      </c>
      <c r="AZ94" s="15">
        <f>82.34+91.26</f>
        <v>173.60000000000002</v>
      </c>
      <c r="BA94" s="16">
        <v>2</v>
      </c>
      <c r="BB94" s="14">
        <v>0</v>
      </c>
      <c r="BC94" s="14">
        <v>0</v>
      </c>
      <c r="BD94" s="14">
        <v>0</v>
      </c>
      <c r="BE94" s="14">
        <v>0</v>
      </c>
      <c r="BF94" s="14">
        <v>0</v>
      </c>
      <c r="BG94" s="14">
        <v>0</v>
      </c>
      <c r="BH94" s="14">
        <v>0</v>
      </c>
      <c r="BI94" s="14">
        <v>2</v>
      </c>
      <c r="BJ94" s="14">
        <v>2</v>
      </c>
      <c r="BK94" s="14">
        <v>0</v>
      </c>
      <c r="BL94" s="14">
        <v>0</v>
      </c>
      <c r="BM94" s="17">
        <v>0</v>
      </c>
      <c r="BN94" s="18">
        <v>2</v>
      </c>
      <c r="BO94" s="8" t="s">
        <v>19</v>
      </c>
    </row>
    <row r="95" spans="1:67" ht="15.75">
      <c r="A95" s="8" t="s">
        <v>192</v>
      </c>
      <c r="B95" s="16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6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5">
        <v>0</v>
      </c>
      <c r="AL95" s="16">
        <v>0</v>
      </c>
      <c r="AM95" s="14">
        <v>0</v>
      </c>
      <c r="AN95" s="16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6">
        <v>0</v>
      </c>
      <c r="AU95" s="14">
        <v>0</v>
      </c>
      <c r="AV95" s="14">
        <v>0</v>
      </c>
      <c r="AW95" s="14">
        <v>0</v>
      </c>
      <c r="AX95" s="16">
        <v>6</v>
      </c>
      <c r="AY95" s="14">
        <f>334+134+84+15+15+8</f>
        <v>590</v>
      </c>
      <c r="AZ95" s="15">
        <f>2404+440+747+1670+2640+24</f>
        <v>7925</v>
      </c>
      <c r="BA95" s="16">
        <v>0</v>
      </c>
      <c r="BB95" s="14">
        <v>0</v>
      </c>
      <c r="BC95" s="14">
        <v>0</v>
      </c>
      <c r="BD95" s="14">
        <v>0</v>
      </c>
      <c r="BE95" s="14">
        <v>0</v>
      </c>
      <c r="BF95" s="14">
        <v>0</v>
      </c>
      <c r="BG95" s="14">
        <v>0</v>
      </c>
      <c r="BH95" s="14">
        <v>0</v>
      </c>
      <c r="BI95" s="14">
        <v>5</v>
      </c>
      <c r="BJ95" s="14">
        <v>2</v>
      </c>
      <c r="BK95" s="14">
        <v>1</v>
      </c>
      <c r="BL95" s="14">
        <v>0</v>
      </c>
      <c r="BM95" s="17">
        <v>0</v>
      </c>
      <c r="BN95" s="18">
        <v>0</v>
      </c>
      <c r="BO95" s="8" t="s">
        <v>19</v>
      </c>
    </row>
    <row r="96" spans="1:67" ht="15.75">
      <c r="A96" s="8" t="s">
        <v>19</v>
      </c>
      <c r="B96" s="16">
        <v>2</v>
      </c>
      <c r="C96" s="14">
        <v>430.5</v>
      </c>
      <c r="D96" s="14">
        <v>1</v>
      </c>
      <c r="E96" s="14">
        <v>1090</v>
      </c>
      <c r="F96" s="14">
        <v>0</v>
      </c>
      <c r="G96" s="14">
        <v>0</v>
      </c>
      <c r="H96" s="14">
        <v>3</v>
      </c>
      <c r="I96" s="14">
        <v>58</v>
      </c>
      <c r="J96" s="14">
        <v>1</v>
      </c>
      <c r="K96" s="14">
        <v>380</v>
      </c>
      <c r="L96" s="14">
        <v>0</v>
      </c>
      <c r="M96" s="14">
        <v>0</v>
      </c>
      <c r="N96" s="14">
        <v>1</v>
      </c>
      <c r="O96" s="14">
        <v>100</v>
      </c>
      <c r="P96" s="14">
        <v>1</v>
      </c>
      <c r="Q96" s="14">
        <v>3750</v>
      </c>
      <c r="R96" s="16">
        <v>14</v>
      </c>
      <c r="S96" s="14">
        <v>250000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1</v>
      </c>
      <c r="AC96" s="14">
        <v>37600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1</v>
      </c>
      <c r="AK96" s="15">
        <v>32600</v>
      </c>
      <c r="AL96" s="16">
        <v>1</v>
      </c>
      <c r="AM96" s="14">
        <v>2000</v>
      </c>
      <c r="AN96" s="16">
        <v>0</v>
      </c>
      <c r="AO96" s="14">
        <v>3</v>
      </c>
      <c r="AP96" s="14">
        <v>0</v>
      </c>
      <c r="AQ96" s="14">
        <v>30</v>
      </c>
      <c r="AR96" s="14">
        <v>20</v>
      </c>
      <c r="AS96" s="14">
        <v>0</v>
      </c>
      <c r="AT96" s="16">
        <v>10</v>
      </c>
      <c r="AU96" s="14">
        <v>0</v>
      </c>
      <c r="AV96" s="14">
        <v>10</v>
      </c>
      <c r="AW96" s="14">
        <v>40</v>
      </c>
      <c r="AX96" s="16">
        <v>11</v>
      </c>
      <c r="AY96" s="14">
        <f>215+280+226+380+130+380+250+380+66+495+395</f>
        <v>3197</v>
      </c>
      <c r="AZ96" s="15">
        <f>57500+43500+87800+86500+50000+15700+15700+14000</f>
        <v>370700</v>
      </c>
      <c r="BA96" s="16">
        <v>11</v>
      </c>
      <c r="BB96" s="14">
        <v>0</v>
      </c>
      <c r="BC96" s="14">
        <v>0</v>
      </c>
      <c r="BD96" s="14">
        <v>9</v>
      </c>
      <c r="BE96" s="14">
        <v>9</v>
      </c>
      <c r="BF96" s="14">
        <v>9</v>
      </c>
      <c r="BG96" s="14">
        <v>10</v>
      </c>
      <c r="BH96" s="14">
        <v>9</v>
      </c>
      <c r="BI96" s="14">
        <v>2</v>
      </c>
      <c r="BJ96" s="14">
        <v>1</v>
      </c>
      <c r="BK96" s="14">
        <v>1</v>
      </c>
      <c r="BL96" s="14">
        <v>10</v>
      </c>
      <c r="BM96" s="17">
        <v>1</v>
      </c>
      <c r="BN96" s="18">
        <v>10</v>
      </c>
      <c r="BO96" s="8" t="s">
        <v>19</v>
      </c>
    </row>
    <row r="97" spans="1:67" ht="15.75">
      <c r="A97" s="8" t="s">
        <v>193</v>
      </c>
      <c r="B97" s="16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6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5">
        <v>0</v>
      </c>
      <c r="AL97" s="16">
        <v>0</v>
      </c>
      <c r="AM97" s="14">
        <v>0</v>
      </c>
      <c r="AN97" s="16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6">
        <v>1</v>
      </c>
      <c r="AU97" s="14">
        <v>0</v>
      </c>
      <c r="AV97" s="14">
        <v>0</v>
      </c>
      <c r="AW97" s="14">
        <v>0</v>
      </c>
      <c r="AX97" s="16">
        <v>3</v>
      </c>
      <c r="AY97" s="14">
        <f>250+230+250</f>
        <v>730</v>
      </c>
      <c r="AZ97" s="15">
        <v>0</v>
      </c>
      <c r="BA97" s="16">
        <v>1</v>
      </c>
      <c r="BB97" s="14">
        <v>0</v>
      </c>
      <c r="BC97" s="14">
        <v>0</v>
      </c>
      <c r="BD97" s="14">
        <v>0</v>
      </c>
      <c r="BE97" s="14">
        <v>0</v>
      </c>
      <c r="BF97" s="14">
        <v>0</v>
      </c>
      <c r="BG97" s="14">
        <v>0</v>
      </c>
      <c r="BH97" s="14">
        <v>0</v>
      </c>
      <c r="BI97" s="14">
        <v>2</v>
      </c>
      <c r="BJ97" s="14">
        <v>3</v>
      </c>
      <c r="BK97" s="14">
        <v>0</v>
      </c>
      <c r="BL97" s="14">
        <v>0</v>
      </c>
      <c r="BM97" s="17">
        <v>0</v>
      </c>
      <c r="BN97" s="18">
        <v>0</v>
      </c>
      <c r="BO97" s="8" t="s">
        <v>19</v>
      </c>
    </row>
    <row r="98" spans="1:67" ht="15.75">
      <c r="A98" s="8" t="s">
        <v>194</v>
      </c>
      <c r="B98" s="16">
        <v>0</v>
      </c>
      <c r="C98" s="14">
        <v>0</v>
      </c>
      <c r="D98" s="14">
        <v>1</v>
      </c>
      <c r="E98" s="14">
        <v>2000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6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5">
        <v>0</v>
      </c>
      <c r="AL98" s="16">
        <v>0</v>
      </c>
      <c r="AM98" s="14">
        <v>0</v>
      </c>
      <c r="AN98" s="16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6">
        <v>1</v>
      </c>
      <c r="AU98" s="14">
        <v>0</v>
      </c>
      <c r="AV98" s="14">
        <v>0</v>
      </c>
      <c r="AW98" s="14">
        <v>0</v>
      </c>
      <c r="AX98" s="16">
        <v>5</v>
      </c>
      <c r="AY98" s="14">
        <f>80+130+20+140+50</f>
        <v>420</v>
      </c>
      <c r="AZ98" s="15">
        <f>300+700+40+300+100</f>
        <v>1440</v>
      </c>
      <c r="BA98" s="16">
        <v>1</v>
      </c>
      <c r="BB98" s="14">
        <v>0</v>
      </c>
      <c r="BC98" s="14">
        <v>0</v>
      </c>
      <c r="BD98" s="14">
        <v>0</v>
      </c>
      <c r="BE98" s="14">
        <v>0</v>
      </c>
      <c r="BF98" s="14">
        <v>0</v>
      </c>
      <c r="BG98" s="14">
        <v>0</v>
      </c>
      <c r="BH98" s="14">
        <v>0</v>
      </c>
      <c r="BI98" s="14">
        <v>1</v>
      </c>
      <c r="BJ98" s="14">
        <v>2</v>
      </c>
      <c r="BK98" s="14">
        <v>0</v>
      </c>
      <c r="BL98" s="14">
        <v>1</v>
      </c>
      <c r="BM98" s="17">
        <v>0</v>
      </c>
      <c r="BN98" s="18">
        <v>0</v>
      </c>
      <c r="BO98" s="8" t="s">
        <v>19</v>
      </c>
    </row>
    <row r="99" spans="1:67" ht="15.75">
      <c r="A99" s="8" t="s">
        <v>195</v>
      </c>
      <c r="B99" s="16">
        <v>0</v>
      </c>
      <c r="C99" s="14">
        <v>0</v>
      </c>
      <c r="D99" s="14">
        <v>1</v>
      </c>
      <c r="E99" s="14">
        <v>29000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6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5">
        <v>0</v>
      </c>
      <c r="AL99" s="16">
        <v>0</v>
      </c>
      <c r="AM99" s="14">
        <v>0</v>
      </c>
      <c r="AN99" s="16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6">
        <v>0</v>
      </c>
      <c r="AU99" s="14">
        <v>0</v>
      </c>
      <c r="AV99" s="14">
        <v>0</v>
      </c>
      <c r="AW99" s="14">
        <v>0</v>
      </c>
      <c r="AX99" s="16">
        <v>1</v>
      </c>
      <c r="AY99" s="14">
        <v>60</v>
      </c>
      <c r="AZ99" s="15">
        <v>37000</v>
      </c>
      <c r="BA99" s="16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1</v>
      </c>
      <c r="BJ99" s="14">
        <v>1</v>
      </c>
      <c r="BK99" s="14">
        <v>0</v>
      </c>
      <c r="BL99" s="14">
        <v>0</v>
      </c>
      <c r="BM99" s="17">
        <v>0</v>
      </c>
      <c r="BN99" s="18">
        <v>0</v>
      </c>
      <c r="BO99" s="8" t="s">
        <v>20</v>
      </c>
    </row>
    <row r="100" spans="1:67" ht="15.75">
      <c r="A100" s="8" t="s">
        <v>196</v>
      </c>
      <c r="B100" s="16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2</v>
      </c>
      <c r="I100" s="14">
        <f>28+70</f>
        <v>98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6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5">
        <v>0</v>
      </c>
      <c r="AL100" s="16">
        <v>1</v>
      </c>
      <c r="AM100" s="14">
        <v>6000</v>
      </c>
      <c r="AN100" s="16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6">
        <v>0</v>
      </c>
      <c r="AU100" s="14">
        <v>0</v>
      </c>
      <c r="AV100" s="14">
        <v>0</v>
      </c>
      <c r="AW100" s="14">
        <v>0</v>
      </c>
      <c r="AX100" s="16">
        <v>2</v>
      </c>
      <c r="AY100" s="14">
        <f>1780+800</f>
        <v>2580</v>
      </c>
      <c r="AZ100" s="15">
        <f>21440+6000</f>
        <v>27440</v>
      </c>
      <c r="BA100" s="16">
        <v>2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v>0</v>
      </c>
      <c r="BI100" s="14">
        <v>2</v>
      </c>
      <c r="BJ100" s="14">
        <v>2</v>
      </c>
      <c r="BK100" s="14">
        <v>1</v>
      </c>
      <c r="BL100" s="14">
        <v>0</v>
      </c>
      <c r="BM100" s="17">
        <v>0</v>
      </c>
      <c r="BN100" s="18">
        <v>0</v>
      </c>
      <c r="BO100" s="8" t="s">
        <v>20</v>
      </c>
    </row>
    <row r="101" spans="1:67" ht="15.75">
      <c r="A101" s="8" t="s">
        <v>197</v>
      </c>
      <c r="B101" s="16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6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5">
        <v>0</v>
      </c>
      <c r="AL101" s="16">
        <v>1</v>
      </c>
      <c r="AM101" s="14">
        <v>16</v>
      </c>
      <c r="AN101" s="16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6">
        <v>0</v>
      </c>
      <c r="AU101" s="14">
        <v>0</v>
      </c>
      <c r="AV101" s="14">
        <v>0</v>
      </c>
      <c r="AW101" s="14">
        <v>0</v>
      </c>
      <c r="AX101" s="16">
        <v>1</v>
      </c>
      <c r="AY101" s="14">
        <v>100</v>
      </c>
      <c r="AZ101" s="15">
        <v>15000</v>
      </c>
      <c r="BA101" s="16">
        <v>1</v>
      </c>
      <c r="BB101" s="14">
        <v>0</v>
      </c>
      <c r="BC101" s="14">
        <v>0</v>
      </c>
      <c r="BD101" s="14">
        <v>0</v>
      </c>
      <c r="BE101" s="14">
        <v>0</v>
      </c>
      <c r="BF101" s="14">
        <v>0</v>
      </c>
      <c r="BG101" s="14">
        <v>0</v>
      </c>
      <c r="BH101" s="14">
        <v>0</v>
      </c>
      <c r="BI101" s="14">
        <v>1</v>
      </c>
      <c r="BJ101" s="14">
        <v>1</v>
      </c>
      <c r="BK101" s="14">
        <v>0</v>
      </c>
      <c r="BL101" s="14">
        <v>0</v>
      </c>
      <c r="BM101" s="17">
        <v>0</v>
      </c>
      <c r="BN101" s="18">
        <v>0</v>
      </c>
      <c r="BO101" s="8" t="s">
        <v>20</v>
      </c>
    </row>
    <row r="102" spans="1:67" ht="15.75">
      <c r="A102" s="8" t="s">
        <v>198</v>
      </c>
      <c r="B102" s="16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6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5">
        <v>0</v>
      </c>
      <c r="AL102" s="16">
        <v>0</v>
      </c>
      <c r="AM102" s="14">
        <v>0</v>
      </c>
      <c r="AN102" s="16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6">
        <v>0</v>
      </c>
      <c r="AU102" s="14">
        <v>0</v>
      </c>
      <c r="AV102" s="14">
        <v>0</v>
      </c>
      <c r="AW102" s="14">
        <v>0</v>
      </c>
      <c r="AX102" s="16">
        <v>0</v>
      </c>
      <c r="AY102" s="14">
        <v>0</v>
      </c>
      <c r="AZ102" s="15">
        <v>0</v>
      </c>
      <c r="BA102" s="16">
        <v>0</v>
      </c>
      <c r="BB102" s="14">
        <v>0</v>
      </c>
      <c r="BC102" s="14">
        <v>0</v>
      </c>
      <c r="BD102" s="14">
        <v>0</v>
      </c>
      <c r="BE102" s="14">
        <v>0</v>
      </c>
      <c r="BF102" s="14">
        <v>0</v>
      </c>
      <c r="BG102" s="14">
        <v>0</v>
      </c>
      <c r="BH102" s="14">
        <v>0</v>
      </c>
      <c r="BI102" s="14">
        <v>0</v>
      </c>
      <c r="BJ102" s="14">
        <v>0</v>
      </c>
      <c r="BK102" s="14">
        <v>0</v>
      </c>
      <c r="BL102" s="14">
        <v>0</v>
      </c>
      <c r="BM102" s="17">
        <v>0</v>
      </c>
      <c r="BN102" s="18">
        <v>0</v>
      </c>
      <c r="BO102" s="8" t="s">
        <v>20</v>
      </c>
    </row>
    <row r="103" spans="1:67" ht="15.75">
      <c r="A103" s="8" t="s">
        <v>199</v>
      </c>
      <c r="B103" s="16">
        <v>0</v>
      </c>
      <c r="C103" s="14">
        <v>0</v>
      </c>
      <c r="D103" s="14">
        <v>1</v>
      </c>
      <c r="E103" s="14">
        <v>3000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6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5">
        <v>0</v>
      </c>
      <c r="AL103" s="16">
        <v>0</v>
      </c>
      <c r="AM103" s="14">
        <v>0</v>
      </c>
      <c r="AN103" s="16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6">
        <v>0</v>
      </c>
      <c r="AU103" s="14">
        <v>0</v>
      </c>
      <c r="AV103" s="14">
        <v>0</v>
      </c>
      <c r="AW103" s="14">
        <v>0</v>
      </c>
      <c r="AX103" s="16">
        <v>1</v>
      </c>
      <c r="AY103" s="14">
        <v>125</v>
      </c>
      <c r="AZ103" s="15">
        <v>3000</v>
      </c>
      <c r="BA103" s="16">
        <v>1</v>
      </c>
      <c r="BB103" s="14">
        <v>0</v>
      </c>
      <c r="BC103" s="14">
        <v>0</v>
      </c>
      <c r="BD103" s="14">
        <v>0</v>
      </c>
      <c r="BE103" s="14">
        <v>0</v>
      </c>
      <c r="BF103" s="14">
        <v>0</v>
      </c>
      <c r="BG103" s="14">
        <v>0</v>
      </c>
      <c r="BH103" s="14">
        <v>0</v>
      </c>
      <c r="BI103" s="14">
        <v>1</v>
      </c>
      <c r="BJ103" s="14">
        <v>0</v>
      </c>
      <c r="BK103" s="14">
        <v>0</v>
      </c>
      <c r="BL103" s="14">
        <v>0</v>
      </c>
      <c r="BM103" s="17">
        <v>0</v>
      </c>
      <c r="BN103" s="18">
        <v>0</v>
      </c>
      <c r="BO103" s="8" t="s">
        <v>20</v>
      </c>
    </row>
    <row r="104" spans="1:67" ht="15.75">
      <c r="A104" s="8" t="s">
        <v>200</v>
      </c>
      <c r="B104" s="16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1</v>
      </c>
      <c r="I104" s="14">
        <v>12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6">
        <v>8</v>
      </c>
      <c r="S104" s="14">
        <v>27740</v>
      </c>
      <c r="T104" s="14">
        <v>12</v>
      </c>
      <c r="U104" s="14">
        <v>33385</v>
      </c>
      <c r="V104" s="14" t="s">
        <v>117</v>
      </c>
      <c r="W104" s="14">
        <v>0</v>
      </c>
      <c r="X104" s="14">
        <v>0</v>
      </c>
      <c r="Y104" s="14">
        <v>0</v>
      </c>
      <c r="Z104" s="14">
        <v>7</v>
      </c>
      <c r="AA104" s="14">
        <v>2750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5">
        <v>0</v>
      </c>
      <c r="AL104" s="16">
        <v>0</v>
      </c>
      <c r="AM104" s="14">
        <v>0</v>
      </c>
      <c r="AN104" s="16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6">
        <v>1</v>
      </c>
      <c r="AU104" s="14">
        <v>1</v>
      </c>
      <c r="AV104" s="14">
        <v>0</v>
      </c>
      <c r="AW104" s="14">
        <v>0</v>
      </c>
      <c r="AX104" s="16">
        <v>8</v>
      </c>
      <c r="AY104" s="14">
        <f>83+100+83+270+260+230+282+241</f>
        <v>1549</v>
      </c>
      <c r="AZ104" s="15">
        <f>3320+2000+1660+5400+2600+2300+5640+4820</f>
        <v>27740</v>
      </c>
      <c r="BA104" s="16">
        <v>3</v>
      </c>
      <c r="BB104" s="14">
        <v>2</v>
      </c>
      <c r="BC104" s="14">
        <v>1</v>
      </c>
      <c r="BD104" s="14">
        <v>1</v>
      </c>
      <c r="BE104" s="14">
        <v>1</v>
      </c>
      <c r="BF104" s="14">
        <v>0</v>
      </c>
      <c r="BG104" s="14">
        <v>0</v>
      </c>
      <c r="BH104" s="14">
        <v>1</v>
      </c>
      <c r="BI104" s="14">
        <v>2</v>
      </c>
      <c r="BJ104" s="14">
        <v>1</v>
      </c>
      <c r="BK104" s="14">
        <v>1</v>
      </c>
      <c r="BL104" s="14">
        <v>2</v>
      </c>
      <c r="BM104" s="17">
        <v>0</v>
      </c>
      <c r="BN104" s="18">
        <v>8</v>
      </c>
      <c r="BO104" s="8" t="s">
        <v>20</v>
      </c>
    </row>
    <row r="105" spans="1:67" ht="15.75">
      <c r="A105" s="8" t="s">
        <v>21</v>
      </c>
      <c r="B105" s="16" t="s">
        <v>115</v>
      </c>
      <c r="C105" s="14" t="s">
        <v>115</v>
      </c>
      <c r="D105" s="14" t="s">
        <v>115</v>
      </c>
      <c r="E105" s="14" t="s">
        <v>115</v>
      </c>
      <c r="F105" s="14" t="s">
        <v>115</v>
      </c>
      <c r="G105" s="14" t="s">
        <v>115</v>
      </c>
      <c r="H105" s="14" t="s">
        <v>115</v>
      </c>
      <c r="I105" s="14" t="s">
        <v>115</v>
      </c>
      <c r="J105" s="14" t="s">
        <v>115</v>
      </c>
      <c r="K105" s="14" t="s">
        <v>115</v>
      </c>
      <c r="L105" s="14" t="s">
        <v>115</v>
      </c>
      <c r="M105" s="14" t="s">
        <v>115</v>
      </c>
      <c r="N105" s="14" t="s">
        <v>115</v>
      </c>
      <c r="O105" s="14" t="s">
        <v>115</v>
      </c>
      <c r="P105" s="14" t="s">
        <v>115</v>
      </c>
      <c r="Q105" s="14" t="s">
        <v>115</v>
      </c>
      <c r="R105" s="16" t="s">
        <v>115</v>
      </c>
      <c r="S105" s="14" t="s">
        <v>115</v>
      </c>
      <c r="T105" s="14" t="s">
        <v>115</v>
      </c>
      <c r="U105" s="14" t="s">
        <v>115</v>
      </c>
      <c r="V105" s="14" t="s">
        <v>115</v>
      </c>
      <c r="W105" s="14" t="s">
        <v>115</v>
      </c>
      <c r="X105" s="14" t="s">
        <v>115</v>
      </c>
      <c r="Y105" s="14" t="s">
        <v>115</v>
      </c>
      <c r="Z105" s="14" t="s">
        <v>115</v>
      </c>
      <c r="AA105" s="14" t="s">
        <v>115</v>
      </c>
      <c r="AB105" s="14" t="s">
        <v>115</v>
      </c>
      <c r="AC105" s="14" t="s">
        <v>115</v>
      </c>
      <c r="AD105" s="14" t="s">
        <v>115</v>
      </c>
      <c r="AE105" s="14" t="s">
        <v>115</v>
      </c>
      <c r="AF105" s="14" t="s">
        <v>115</v>
      </c>
      <c r="AG105" s="14" t="s">
        <v>115</v>
      </c>
      <c r="AH105" s="14" t="s">
        <v>115</v>
      </c>
      <c r="AI105" s="14" t="s">
        <v>115</v>
      </c>
      <c r="AJ105" s="14" t="s">
        <v>115</v>
      </c>
      <c r="AK105" s="14" t="s">
        <v>115</v>
      </c>
      <c r="AL105" s="16" t="s">
        <v>115</v>
      </c>
      <c r="AM105" s="14" t="s">
        <v>115</v>
      </c>
      <c r="AN105" s="16" t="s">
        <v>115</v>
      </c>
      <c r="AO105" s="14" t="s">
        <v>115</v>
      </c>
      <c r="AP105" s="14" t="s">
        <v>115</v>
      </c>
      <c r="AQ105" s="14" t="s">
        <v>115</v>
      </c>
      <c r="AR105" s="14" t="s">
        <v>115</v>
      </c>
      <c r="AS105" s="14" t="s">
        <v>115</v>
      </c>
      <c r="AT105" s="16" t="s">
        <v>115</v>
      </c>
      <c r="AU105" s="14" t="s">
        <v>115</v>
      </c>
      <c r="AV105" s="14" t="s">
        <v>115</v>
      </c>
      <c r="AW105" s="14" t="s">
        <v>115</v>
      </c>
      <c r="AX105" s="16" t="s">
        <v>115</v>
      </c>
      <c r="AY105" s="14" t="s">
        <v>115</v>
      </c>
      <c r="AZ105" s="14" t="s">
        <v>115</v>
      </c>
      <c r="BA105" s="16" t="s">
        <v>115</v>
      </c>
      <c r="BB105" s="14" t="s">
        <v>115</v>
      </c>
      <c r="BC105" s="14" t="s">
        <v>115</v>
      </c>
      <c r="BD105" s="14" t="s">
        <v>115</v>
      </c>
      <c r="BE105" s="14" t="s">
        <v>115</v>
      </c>
      <c r="BF105" s="14" t="s">
        <v>115</v>
      </c>
      <c r="BG105" s="14" t="s">
        <v>115</v>
      </c>
      <c r="BH105" s="14" t="s">
        <v>115</v>
      </c>
      <c r="BI105" s="14" t="s">
        <v>115</v>
      </c>
      <c r="BJ105" s="14" t="s">
        <v>115</v>
      </c>
      <c r="BK105" s="14" t="s">
        <v>115</v>
      </c>
      <c r="BL105" s="14" t="s">
        <v>115</v>
      </c>
      <c r="BM105" s="16" t="s">
        <v>115</v>
      </c>
      <c r="BN105" s="14" t="s">
        <v>115</v>
      </c>
      <c r="BO105" s="8" t="s">
        <v>21</v>
      </c>
    </row>
    <row r="106" spans="1:67" ht="15.75">
      <c r="A106" s="8" t="s">
        <v>201</v>
      </c>
      <c r="B106" s="16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6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5">
        <v>0</v>
      </c>
      <c r="AL106" s="16">
        <v>0</v>
      </c>
      <c r="AM106" s="14">
        <v>0</v>
      </c>
      <c r="AN106" s="16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6">
        <v>0</v>
      </c>
      <c r="AU106" s="14">
        <v>0</v>
      </c>
      <c r="AV106" s="14">
        <v>0</v>
      </c>
      <c r="AW106" s="14">
        <v>0</v>
      </c>
      <c r="AX106" s="16">
        <v>5</v>
      </c>
      <c r="AY106" s="14">
        <f>292+60+32+151+50</f>
        <v>585</v>
      </c>
      <c r="AZ106" s="15">
        <f>2927+690+180+2927+293</f>
        <v>7017</v>
      </c>
      <c r="BA106" s="16">
        <v>0</v>
      </c>
      <c r="BB106" s="14">
        <v>0</v>
      </c>
      <c r="BC106" s="14">
        <v>0</v>
      </c>
      <c r="BD106" s="14">
        <v>0</v>
      </c>
      <c r="BE106" s="14">
        <v>0</v>
      </c>
      <c r="BF106" s="14">
        <v>0</v>
      </c>
      <c r="BG106" s="14">
        <v>0</v>
      </c>
      <c r="BH106" s="14">
        <v>0</v>
      </c>
      <c r="BI106" s="14">
        <v>2</v>
      </c>
      <c r="BJ106" s="14">
        <v>2</v>
      </c>
      <c r="BK106" s="14">
        <v>1</v>
      </c>
      <c r="BL106" s="14">
        <v>0</v>
      </c>
      <c r="BM106" s="17">
        <v>0</v>
      </c>
      <c r="BN106" s="18">
        <v>0</v>
      </c>
      <c r="BO106" s="8" t="s">
        <v>22</v>
      </c>
    </row>
    <row r="107" spans="1:67" ht="15.75">
      <c r="A107" s="8" t="s">
        <v>22</v>
      </c>
      <c r="B107" s="16">
        <v>1</v>
      </c>
      <c r="C107" s="14">
        <v>20</v>
      </c>
      <c r="D107" s="14">
        <v>3</v>
      </c>
      <c r="E107" s="14">
        <v>100</v>
      </c>
      <c r="F107" s="14">
        <v>0</v>
      </c>
      <c r="G107" s="14">
        <v>0</v>
      </c>
      <c r="H107" s="14">
        <v>3</v>
      </c>
      <c r="I107" s="14">
        <v>40</v>
      </c>
      <c r="J107" s="14">
        <v>1</v>
      </c>
      <c r="K107" s="14">
        <v>10</v>
      </c>
      <c r="L107" s="14">
        <v>0</v>
      </c>
      <c r="M107" s="14">
        <v>0</v>
      </c>
      <c r="N107" s="14">
        <v>1</v>
      </c>
      <c r="O107" s="14">
        <v>10</v>
      </c>
      <c r="P107" s="14">
        <v>1</v>
      </c>
      <c r="Q107" s="14">
        <v>10</v>
      </c>
      <c r="R107" s="16">
        <v>2</v>
      </c>
      <c r="S107" s="14">
        <v>300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5">
        <v>0</v>
      </c>
      <c r="AL107" s="16">
        <v>0</v>
      </c>
      <c r="AM107" s="14">
        <v>0</v>
      </c>
      <c r="AN107" s="16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6">
        <v>2</v>
      </c>
      <c r="AU107" s="14">
        <v>2</v>
      </c>
      <c r="AV107" s="14">
        <v>0</v>
      </c>
      <c r="AW107" s="14">
        <v>0</v>
      </c>
      <c r="AX107" s="16">
        <v>7</v>
      </c>
      <c r="AY107" s="14">
        <f>80+410+280+120+450+710+280</f>
        <v>2330</v>
      </c>
      <c r="AZ107" s="15">
        <f>800+820+5600+1200+750+7100+1400</f>
        <v>17670</v>
      </c>
      <c r="BA107" s="16">
        <v>5</v>
      </c>
      <c r="BB107" s="14">
        <v>0</v>
      </c>
      <c r="BC107" s="14">
        <v>0</v>
      </c>
      <c r="BD107" s="14">
        <v>5</v>
      </c>
      <c r="BE107" s="14">
        <v>5</v>
      </c>
      <c r="BF107" s="14">
        <v>0</v>
      </c>
      <c r="BG107" s="14">
        <v>4</v>
      </c>
      <c r="BH107" s="14">
        <v>5</v>
      </c>
      <c r="BI107" s="14">
        <v>6</v>
      </c>
      <c r="BJ107" s="14">
        <v>6</v>
      </c>
      <c r="BK107" s="14">
        <v>7</v>
      </c>
      <c r="BL107" s="14">
        <v>7</v>
      </c>
      <c r="BM107" s="17">
        <v>2</v>
      </c>
      <c r="BN107" s="18">
        <v>1</v>
      </c>
      <c r="BO107" s="8" t="s">
        <v>22</v>
      </c>
    </row>
    <row r="108" spans="1:67" ht="15.75">
      <c r="A108" s="8" t="s">
        <v>202</v>
      </c>
      <c r="B108" s="16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2</v>
      </c>
      <c r="O108" s="14" t="s">
        <v>115</v>
      </c>
      <c r="P108" s="14">
        <v>0</v>
      </c>
      <c r="Q108" s="14">
        <v>0</v>
      </c>
      <c r="R108" s="16">
        <v>2</v>
      </c>
      <c r="S108" s="14">
        <v>3006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5">
        <v>0</v>
      </c>
      <c r="AL108" s="16">
        <v>0</v>
      </c>
      <c r="AM108" s="14">
        <v>0</v>
      </c>
      <c r="AN108" s="16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6">
        <v>2</v>
      </c>
      <c r="AU108" s="14">
        <v>0</v>
      </c>
      <c r="AV108" s="14">
        <v>0</v>
      </c>
      <c r="AW108" s="14">
        <v>0</v>
      </c>
      <c r="AX108" s="16">
        <v>9</v>
      </c>
      <c r="AY108" s="14">
        <f>95+165+145+147+360+136+360+217+543</f>
        <v>2168</v>
      </c>
      <c r="AZ108" s="15">
        <f>1200+1950+1985+1400+1440+1350+1440+2450+4900</f>
        <v>18115</v>
      </c>
      <c r="BA108" s="16">
        <v>0</v>
      </c>
      <c r="BB108" s="14">
        <v>0</v>
      </c>
      <c r="BC108" s="14">
        <v>0</v>
      </c>
      <c r="BD108" s="14">
        <v>0</v>
      </c>
      <c r="BE108" s="14">
        <v>0</v>
      </c>
      <c r="BF108" s="14">
        <v>0</v>
      </c>
      <c r="BG108" s="14">
        <v>0</v>
      </c>
      <c r="BH108" s="14">
        <v>0</v>
      </c>
      <c r="BI108" s="14">
        <v>3</v>
      </c>
      <c r="BJ108" s="14">
        <v>7</v>
      </c>
      <c r="BK108" s="14">
        <v>1</v>
      </c>
      <c r="BL108" s="14">
        <v>1</v>
      </c>
      <c r="BM108" s="17">
        <v>0</v>
      </c>
      <c r="BN108" s="18">
        <v>0</v>
      </c>
      <c r="BO108" s="8" t="s">
        <v>22</v>
      </c>
    </row>
    <row r="109" spans="1:67" ht="15.75">
      <c r="A109" s="8" t="s">
        <v>203</v>
      </c>
      <c r="B109" s="16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6">
        <v>3</v>
      </c>
      <c r="S109" s="14">
        <v>120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5">
        <v>0</v>
      </c>
      <c r="AL109" s="16">
        <v>0</v>
      </c>
      <c r="AM109" s="14">
        <v>0</v>
      </c>
      <c r="AN109" s="16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6">
        <v>0</v>
      </c>
      <c r="AU109" s="14">
        <v>0</v>
      </c>
      <c r="AV109" s="14">
        <v>0</v>
      </c>
      <c r="AW109" s="14">
        <v>0</v>
      </c>
      <c r="AX109" s="16">
        <v>3</v>
      </c>
      <c r="AY109" s="14">
        <f>130+83+56</f>
        <v>269</v>
      </c>
      <c r="AZ109" s="15">
        <f>2280+525+720</f>
        <v>3525</v>
      </c>
      <c r="BA109" s="16">
        <v>0</v>
      </c>
      <c r="BB109" s="14">
        <v>0</v>
      </c>
      <c r="BC109" s="14">
        <v>0</v>
      </c>
      <c r="BD109" s="14">
        <v>0</v>
      </c>
      <c r="BE109" s="14">
        <v>0</v>
      </c>
      <c r="BF109" s="14">
        <v>0</v>
      </c>
      <c r="BG109" s="14">
        <v>0</v>
      </c>
      <c r="BH109" s="14">
        <v>0</v>
      </c>
      <c r="BI109" s="14">
        <v>0</v>
      </c>
      <c r="BJ109" s="14">
        <v>0</v>
      </c>
      <c r="BK109" s="14">
        <v>0</v>
      </c>
      <c r="BL109" s="14">
        <v>0</v>
      </c>
      <c r="BM109" s="17">
        <v>0</v>
      </c>
      <c r="BN109" s="18">
        <v>0</v>
      </c>
      <c r="BO109" s="8" t="s">
        <v>22</v>
      </c>
    </row>
    <row r="110" spans="1:67" ht="15.75">
      <c r="A110" s="8" t="s">
        <v>204</v>
      </c>
      <c r="B110" s="16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6" t="s">
        <v>115</v>
      </c>
      <c r="S110" s="14">
        <v>18605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5">
        <v>0</v>
      </c>
      <c r="AL110" s="16">
        <v>0</v>
      </c>
      <c r="AM110" s="14">
        <v>0</v>
      </c>
      <c r="AN110" s="16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6">
        <v>0</v>
      </c>
      <c r="AU110" s="14">
        <v>0</v>
      </c>
      <c r="AV110" s="14">
        <v>0</v>
      </c>
      <c r="AW110" s="14">
        <v>0</v>
      </c>
      <c r="AX110" s="16">
        <v>11</v>
      </c>
      <c r="AY110" s="14">
        <f>75+75+75+75+302+56+362+50+45+50+50</f>
        <v>1215</v>
      </c>
      <c r="AZ110" s="15" t="s">
        <v>115</v>
      </c>
      <c r="BA110" s="16">
        <v>9</v>
      </c>
      <c r="BB110" s="14">
        <v>0</v>
      </c>
      <c r="BC110" s="14">
        <v>0</v>
      </c>
      <c r="BD110" s="14">
        <v>0</v>
      </c>
      <c r="BE110" s="14">
        <v>0</v>
      </c>
      <c r="BF110" s="14">
        <v>0</v>
      </c>
      <c r="BG110" s="14">
        <v>8</v>
      </c>
      <c r="BH110" s="14">
        <v>0</v>
      </c>
      <c r="BI110" s="14">
        <v>0</v>
      </c>
      <c r="BJ110" s="14">
        <v>0</v>
      </c>
      <c r="BK110" s="14">
        <v>0</v>
      </c>
      <c r="BL110" s="14">
        <v>0</v>
      </c>
      <c r="BM110" s="17">
        <v>3</v>
      </c>
      <c r="BN110" s="18">
        <v>0</v>
      </c>
      <c r="BO110" s="8" t="s">
        <v>22</v>
      </c>
    </row>
    <row r="111" spans="1:67" ht="15.75">
      <c r="A111" s="8" t="s">
        <v>205</v>
      </c>
      <c r="B111" s="16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6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5">
        <v>0</v>
      </c>
      <c r="AL111" s="16">
        <v>0</v>
      </c>
      <c r="AM111" s="14">
        <v>0</v>
      </c>
      <c r="AN111" s="16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6">
        <v>1</v>
      </c>
      <c r="AU111" s="14">
        <v>0</v>
      </c>
      <c r="AV111" s="14">
        <v>0</v>
      </c>
      <c r="AW111" s="14">
        <v>0</v>
      </c>
      <c r="AX111" s="16">
        <v>1</v>
      </c>
      <c r="AY111" s="14" t="s">
        <v>115</v>
      </c>
      <c r="AZ111" s="15">
        <v>0</v>
      </c>
      <c r="BA111" s="16">
        <v>0</v>
      </c>
      <c r="BB111" s="14">
        <v>0</v>
      </c>
      <c r="BC111" s="14">
        <v>0</v>
      </c>
      <c r="BD111" s="14">
        <v>0</v>
      </c>
      <c r="BE111" s="14">
        <v>0</v>
      </c>
      <c r="BF111" s="14">
        <v>0</v>
      </c>
      <c r="BG111" s="14">
        <v>0</v>
      </c>
      <c r="BH111" s="14">
        <v>0</v>
      </c>
      <c r="BI111" s="14">
        <v>1</v>
      </c>
      <c r="BJ111" s="14">
        <v>1</v>
      </c>
      <c r="BK111" s="14">
        <v>0</v>
      </c>
      <c r="BL111" s="14">
        <v>0</v>
      </c>
      <c r="BM111" s="17">
        <v>0</v>
      </c>
      <c r="BN111" s="18">
        <v>0</v>
      </c>
      <c r="BO111" s="8" t="s">
        <v>23</v>
      </c>
    </row>
    <row r="112" spans="1:67" ht="15.75">
      <c r="A112" s="8" t="s">
        <v>23</v>
      </c>
      <c r="B112" s="16" t="s">
        <v>115</v>
      </c>
      <c r="C112" s="14" t="s">
        <v>115</v>
      </c>
      <c r="D112" s="14" t="s">
        <v>115</v>
      </c>
      <c r="E112" s="14" t="s">
        <v>115</v>
      </c>
      <c r="F112" s="14" t="s">
        <v>115</v>
      </c>
      <c r="G112" s="14" t="s">
        <v>115</v>
      </c>
      <c r="H112" s="14" t="s">
        <v>115</v>
      </c>
      <c r="I112" s="14" t="s">
        <v>115</v>
      </c>
      <c r="J112" s="14" t="s">
        <v>115</v>
      </c>
      <c r="K112" s="14" t="s">
        <v>115</v>
      </c>
      <c r="L112" s="14" t="s">
        <v>115</v>
      </c>
      <c r="M112" s="14" t="s">
        <v>115</v>
      </c>
      <c r="N112" s="14" t="s">
        <v>115</v>
      </c>
      <c r="O112" s="14" t="s">
        <v>115</v>
      </c>
      <c r="P112" s="14" t="s">
        <v>115</v>
      </c>
      <c r="Q112" s="14" t="s">
        <v>115</v>
      </c>
      <c r="R112" s="16" t="s">
        <v>115</v>
      </c>
      <c r="S112" s="14" t="s">
        <v>115</v>
      </c>
      <c r="T112" s="14" t="s">
        <v>115</v>
      </c>
      <c r="U112" s="14" t="s">
        <v>115</v>
      </c>
      <c r="V112" s="14" t="s">
        <v>115</v>
      </c>
      <c r="W112" s="14" t="s">
        <v>115</v>
      </c>
      <c r="X112" s="14" t="s">
        <v>115</v>
      </c>
      <c r="Y112" s="14" t="s">
        <v>115</v>
      </c>
      <c r="Z112" s="14" t="s">
        <v>115</v>
      </c>
      <c r="AA112" s="14" t="s">
        <v>115</v>
      </c>
      <c r="AB112" s="14" t="s">
        <v>115</v>
      </c>
      <c r="AC112" s="14" t="s">
        <v>115</v>
      </c>
      <c r="AD112" s="14" t="s">
        <v>115</v>
      </c>
      <c r="AE112" s="14" t="s">
        <v>115</v>
      </c>
      <c r="AF112" s="14" t="s">
        <v>115</v>
      </c>
      <c r="AG112" s="14" t="s">
        <v>115</v>
      </c>
      <c r="AH112" s="14" t="s">
        <v>115</v>
      </c>
      <c r="AI112" s="14" t="s">
        <v>115</v>
      </c>
      <c r="AJ112" s="14" t="s">
        <v>115</v>
      </c>
      <c r="AK112" s="14" t="s">
        <v>115</v>
      </c>
      <c r="AL112" s="16" t="s">
        <v>115</v>
      </c>
      <c r="AM112" s="14" t="s">
        <v>115</v>
      </c>
      <c r="AN112" s="16" t="s">
        <v>115</v>
      </c>
      <c r="AO112" s="14" t="s">
        <v>115</v>
      </c>
      <c r="AP112" s="14" t="s">
        <v>115</v>
      </c>
      <c r="AQ112" s="14" t="s">
        <v>115</v>
      </c>
      <c r="AR112" s="14" t="s">
        <v>115</v>
      </c>
      <c r="AS112" s="14" t="s">
        <v>115</v>
      </c>
      <c r="AT112" s="16" t="s">
        <v>115</v>
      </c>
      <c r="AU112" s="14" t="s">
        <v>115</v>
      </c>
      <c r="AV112" s="14" t="s">
        <v>115</v>
      </c>
      <c r="AW112" s="14" t="s">
        <v>115</v>
      </c>
      <c r="AX112" s="16" t="s">
        <v>115</v>
      </c>
      <c r="AY112" s="14" t="s">
        <v>115</v>
      </c>
      <c r="AZ112" s="14" t="s">
        <v>115</v>
      </c>
      <c r="BA112" s="16" t="s">
        <v>115</v>
      </c>
      <c r="BB112" s="14" t="s">
        <v>115</v>
      </c>
      <c r="BC112" s="14" t="s">
        <v>115</v>
      </c>
      <c r="BD112" s="14" t="s">
        <v>115</v>
      </c>
      <c r="BE112" s="14" t="s">
        <v>115</v>
      </c>
      <c r="BF112" s="14" t="s">
        <v>115</v>
      </c>
      <c r="BG112" s="14" t="s">
        <v>115</v>
      </c>
      <c r="BH112" s="14" t="s">
        <v>115</v>
      </c>
      <c r="BI112" s="14" t="s">
        <v>115</v>
      </c>
      <c r="BJ112" s="14" t="s">
        <v>115</v>
      </c>
      <c r="BK112" s="14" t="s">
        <v>115</v>
      </c>
      <c r="BL112" s="14" t="s">
        <v>115</v>
      </c>
      <c r="BM112" s="16" t="s">
        <v>115</v>
      </c>
      <c r="BN112" s="14" t="s">
        <v>115</v>
      </c>
      <c r="BO112" s="8" t="s">
        <v>23</v>
      </c>
    </row>
    <row r="113" spans="1:67" ht="15.75">
      <c r="A113" s="8" t="s">
        <v>206</v>
      </c>
      <c r="B113" s="16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6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5">
        <v>0</v>
      </c>
      <c r="AL113" s="16">
        <v>1</v>
      </c>
      <c r="AM113" s="14" t="s">
        <v>115</v>
      </c>
      <c r="AN113" s="16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6">
        <v>1</v>
      </c>
      <c r="AU113" s="14">
        <v>0</v>
      </c>
      <c r="AV113" s="14">
        <v>0</v>
      </c>
      <c r="AW113" s="14">
        <v>0</v>
      </c>
      <c r="AX113" s="16">
        <v>2</v>
      </c>
      <c r="AY113" s="14" t="s">
        <v>115</v>
      </c>
      <c r="AZ113" s="15">
        <v>0</v>
      </c>
      <c r="BA113" s="16">
        <v>0</v>
      </c>
      <c r="BB113" s="14">
        <v>0</v>
      </c>
      <c r="BC113" s="14">
        <v>0</v>
      </c>
      <c r="BD113" s="14">
        <v>0</v>
      </c>
      <c r="BE113" s="14">
        <v>0</v>
      </c>
      <c r="BF113" s="14">
        <v>0</v>
      </c>
      <c r="BG113" s="14">
        <v>0</v>
      </c>
      <c r="BH113" s="14">
        <v>0</v>
      </c>
      <c r="BI113" s="14">
        <v>1</v>
      </c>
      <c r="BJ113" s="14">
        <v>1</v>
      </c>
      <c r="BK113" s="14">
        <v>0</v>
      </c>
      <c r="BL113" s="14">
        <v>0</v>
      </c>
      <c r="BM113" s="17">
        <v>0</v>
      </c>
      <c r="BN113" s="18">
        <v>0</v>
      </c>
      <c r="BO113" s="8" t="s">
        <v>23</v>
      </c>
    </row>
    <row r="114" spans="1:67" ht="15.75">
      <c r="A114" s="8" t="s">
        <v>207</v>
      </c>
      <c r="B114" s="16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6">
        <v>1</v>
      </c>
      <c r="S114" s="14">
        <v>3000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5">
        <v>0</v>
      </c>
      <c r="AL114" s="16">
        <v>0</v>
      </c>
      <c r="AM114" s="14">
        <v>0</v>
      </c>
      <c r="AN114" s="16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6">
        <v>0</v>
      </c>
      <c r="AU114" s="14">
        <v>0</v>
      </c>
      <c r="AV114" s="14">
        <v>0</v>
      </c>
      <c r="AW114" s="14">
        <v>1</v>
      </c>
      <c r="AX114" s="16">
        <v>4</v>
      </c>
      <c r="AY114" s="14">
        <f>250+193+189+221</f>
        <v>853</v>
      </c>
      <c r="AZ114" s="15">
        <v>0</v>
      </c>
      <c r="BA114" s="16">
        <v>0</v>
      </c>
      <c r="BB114" s="14">
        <v>0</v>
      </c>
      <c r="BC114" s="14">
        <v>0</v>
      </c>
      <c r="BD114" s="14">
        <v>0</v>
      </c>
      <c r="BE114" s="14">
        <v>0</v>
      </c>
      <c r="BF114" s="14">
        <v>0</v>
      </c>
      <c r="BG114" s="14">
        <v>0</v>
      </c>
      <c r="BH114" s="14">
        <v>0</v>
      </c>
      <c r="BI114" s="14">
        <v>2</v>
      </c>
      <c r="BJ114" s="14">
        <v>2</v>
      </c>
      <c r="BK114" s="14">
        <v>2</v>
      </c>
      <c r="BL114" s="14">
        <v>1</v>
      </c>
      <c r="BM114" s="17">
        <v>0</v>
      </c>
      <c r="BN114" s="18">
        <v>0</v>
      </c>
      <c r="BO114" s="8" t="s">
        <v>118</v>
      </c>
    </row>
    <row r="115" spans="1:67" ht="15.75">
      <c r="A115" s="8" t="s">
        <v>118</v>
      </c>
      <c r="B115" s="16" t="s">
        <v>115</v>
      </c>
      <c r="C115" s="14" t="s">
        <v>115</v>
      </c>
      <c r="D115" s="14" t="s">
        <v>115</v>
      </c>
      <c r="E115" s="14" t="s">
        <v>115</v>
      </c>
      <c r="F115" s="14" t="s">
        <v>115</v>
      </c>
      <c r="G115" s="14" t="s">
        <v>115</v>
      </c>
      <c r="H115" s="14" t="s">
        <v>115</v>
      </c>
      <c r="I115" s="14" t="s">
        <v>115</v>
      </c>
      <c r="J115" s="14" t="s">
        <v>115</v>
      </c>
      <c r="K115" s="14" t="s">
        <v>115</v>
      </c>
      <c r="L115" s="14" t="s">
        <v>115</v>
      </c>
      <c r="M115" s="14" t="s">
        <v>115</v>
      </c>
      <c r="N115" s="14" t="s">
        <v>115</v>
      </c>
      <c r="O115" s="14" t="s">
        <v>115</v>
      </c>
      <c r="P115" s="14" t="s">
        <v>115</v>
      </c>
      <c r="Q115" s="14" t="s">
        <v>115</v>
      </c>
      <c r="R115" s="16" t="s">
        <v>115</v>
      </c>
      <c r="S115" s="14" t="s">
        <v>115</v>
      </c>
      <c r="T115" s="14" t="s">
        <v>115</v>
      </c>
      <c r="U115" s="14" t="s">
        <v>115</v>
      </c>
      <c r="V115" s="14" t="s">
        <v>115</v>
      </c>
      <c r="W115" s="14" t="s">
        <v>115</v>
      </c>
      <c r="X115" s="14" t="s">
        <v>115</v>
      </c>
      <c r="Y115" s="14" t="s">
        <v>115</v>
      </c>
      <c r="Z115" s="14" t="s">
        <v>115</v>
      </c>
      <c r="AA115" s="14" t="s">
        <v>115</v>
      </c>
      <c r="AB115" s="14" t="s">
        <v>115</v>
      </c>
      <c r="AC115" s="14" t="s">
        <v>115</v>
      </c>
      <c r="AD115" s="14" t="s">
        <v>115</v>
      </c>
      <c r="AE115" s="14" t="s">
        <v>115</v>
      </c>
      <c r="AF115" s="14" t="s">
        <v>115</v>
      </c>
      <c r="AG115" s="14" t="s">
        <v>115</v>
      </c>
      <c r="AH115" s="14" t="s">
        <v>115</v>
      </c>
      <c r="AI115" s="14" t="s">
        <v>115</v>
      </c>
      <c r="AJ115" s="14" t="s">
        <v>115</v>
      </c>
      <c r="AK115" s="14" t="s">
        <v>115</v>
      </c>
      <c r="AL115" s="16" t="s">
        <v>115</v>
      </c>
      <c r="AM115" s="14" t="s">
        <v>115</v>
      </c>
      <c r="AN115" s="16" t="s">
        <v>115</v>
      </c>
      <c r="AO115" s="14" t="s">
        <v>115</v>
      </c>
      <c r="AP115" s="14" t="s">
        <v>115</v>
      </c>
      <c r="AQ115" s="14" t="s">
        <v>115</v>
      </c>
      <c r="AR115" s="14" t="s">
        <v>115</v>
      </c>
      <c r="AS115" s="14" t="s">
        <v>115</v>
      </c>
      <c r="AT115" s="16" t="s">
        <v>115</v>
      </c>
      <c r="AU115" s="14" t="s">
        <v>115</v>
      </c>
      <c r="AV115" s="14" t="s">
        <v>115</v>
      </c>
      <c r="AW115" s="14" t="s">
        <v>115</v>
      </c>
      <c r="AX115" s="16" t="s">
        <v>115</v>
      </c>
      <c r="AY115" s="14" t="s">
        <v>115</v>
      </c>
      <c r="AZ115" s="14" t="s">
        <v>115</v>
      </c>
      <c r="BA115" s="16" t="s">
        <v>115</v>
      </c>
      <c r="BB115" s="14" t="s">
        <v>115</v>
      </c>
      <c r="BC115" s="14" t="s">
        <v>115</v>
      </c>
      <c r="BD115" s="14" t="s">
        <v>115</v>
      </c>
      <c r="BE115" s="14" t="s">
        <v>115</v>
      </c>
      <c r="BF115" s="14" t="s">
        <v>115</v>
      </c>
      <c r="BG115" s="14" t="s">
        <v>115</v>
      </c>
      <c r="BH115" s="14" t="s">
        <v>115</v>
      </c>
      <c r="BI115" s="14" t="s">
        <v>115</v>
      </c>
      <c r="BJ115" s="14" t="s">
        <v>115</v>
      </c>
      <c r="BK115" s="14" t="s">
        <v>115</v>
      </c>
      <c r="BL115" s="14" t="s">
        <v>115</v>
      </c>
      <c r="BM115" s="16" t="s">
        <v>115</v>
      </c>
      <c r="BN115" s="14" t="s">
        <v>115</v>
      </c>
      <c r="BO115" s="8" t="s">
        <v>118</v>
      </c>
    </row>
    <row r="116" spans="1:67" ht="15.75">
      <c r="A116" s="8" t="s">
        <v>208</v>
      </c>
      <c r="B116" s="16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6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5">
        <v>0</v>
      </c>
      <c r="AL116" s="16">
        <v>0</v>
      </c>
      <c r="AM116" s="14">
        <v>0</v>
      </c>
      <c r="AN116" s="16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6">
        <v>0</v>
      </c>
      <c r="AU116" s="14">
        <v>0</v>
      </c>
      <c r="AV116" s="14">
        <v>0</v>
      </c>
      <c r="AW116" s="14">
        <v>0</v>
      </c>
      <c r="AX116" s="16">
        <v>5</v>
      </c>
      <c r="AY116" s="14">
        <f>120+80+130+120*3+220</f>
        <v>910</v>
      </c>
      <c r="AZ116" s="15">
        <f>720+480+780+540+1320</f>
        <v>3840</v>
      </c>
      <c r="BA116" s="16">
        <v>0</v>
      </c>
      <c r="BB116" s="14">
        <v>0</v>
      </c>
      <c r="BC116" s="14">
        <v>0</v>
      </c>
      <c r="BD116" s="14">
        <v>0</v>
      </c>
      <c r="BE116" s="14">
        <v>0</v>
      </c>
      <c r="BF116" s="14">
        <v>0</v>
      </c>
      <c r="BG116" s="14">
        <v>0</v>
      </c>
      <c r="BH116" s="14">
        <v>0</v>
      </c>
      <c r="BI116" s="14">
        <v>2</v>
      </c>
      <c r="BJ116" s="14">
        <v>3</v>
      </c>
      <c r="BK116" s="14">
        <v>0</v>
      </c>
      <c r="BL116" s="14">
        <v>0</v>
      </c>
      <c r="BM116" s="17">
        <v>0</v>
      </c>
      <c r="BN116" s="18">
        <v>0</v>
      </c>
      <c r="BO116" s="8" t="s">
        <v>24</v>
      </c>
    </row>
    <row r="117" spans="1:67" ht="15.75">
      <c r="A117" s="8" t="s">
        <v>209</v>
      </c>
      <c r="B117" s="16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6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5">
        <v>0</v>
      </c>
      <c r="AL117" s="16">
        <v>0</v>
      </c>
      <c r="AM117" s="14">
        <v>0</v>
      </c>
      <c r="AN117" s="16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6">
        <v>0</v>
      </c>
      <c r="AU117" s="14">
        <v>0</v>
      </c>
      <c r="AV117" s="14">
        <v>0</v>
      </c>
      <c r="AW117" s="14">
        <v>0</v>
      </c>
      <c r="AX117" s="16">
        <v>6</v>
      </c>
      <c r="AY117" s="14">
        <f>1350+120+75+100+90+120</f>
        <v>1855</v>
      </c>
      <c r="AZ117" s="15">
        <f>2700+240+150+200+180+240</f>
        <v>3710</v>
      </c>
      <c r="BA117" s="16">
        <v>0</v>
      </c>
      <c r="BB117" s="14">
        <v>0</v>
      </c>
      <c r="BC117" s="14">
        <v>0</v>
      </c>
      <c r="BD117" s="14">
        <v>0</v>
      </c>
      <c r="BE117" s="14">
        <v>0</v>
      </c>
      <c r="BF117" s="14">
        <v>0</v>
      </c>
      <c r="BG117" s="14">
        <v>0</v>
      </c>
      <c r="BH117" s="14">
        <v>0</v>
      </c>
      <c r="BI117" s="14">
        <v>0</v>
      </c>
      <c r="BJ117" s="14">
        <v>5</v>
      </c>
      <c r="BK117" s="14">
        <v>0</v>
      </c>
      <c r="BL117" s="14">
        <v>0</v>
      </c>
      <c r="BM117" s="17">
        <v>0</v>
      </c>
      <c r="BN117" s="18">
        <v>0</v>
      </c>
      <c r="BO117" s="8" t="s">
        <v>24</v>
      </c>
    </row>
    <row r="118" spans="1:67" ht="15.75">
      <c r="A118" s="8" t="s">
        <v>24</v>
      </c>
      <c r="B118" s="16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6">
        <v>4</v>
      </c>
      <c r="S118" s="14">
        <v>127235</v>
      </c>
      <c r="T118" s="14">
        <v>0</v>
      </c>
      <c r="U118" s="14">
        <v>0</v>
      </c>
      <c r="V118" s="14" t="s">
        <v>117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8</v>
      </c>
      <c r="AG118" s="14">
        <v>6400</v>
      </c>
      <c r="AH118" s="14">
        <v>0</v>
      </c>
      <c r="AI118" s="14">
        <v>0</v>
      </c>
      <c r="AJ118" s="14">
        <v>1</v>
      </c>
      <c r="AK118" s="15">
        <v>7000</v>
      </c>
      <c r="AL118" s="16">
        <v>1</v>
      </c>
      <c r="AM118" s="14">
        <v>1029</v>
      </c>
      <c r="AN118" s="16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6">
        <v>0</v>
      </c>
      <c r="AU118" s="14">
        <v>0</v>
      </c>
      <c r="AV118" s="14">
        <v>0</v>
      </c>
      <c r="AW118" s="14">
        <v>0</v>
      </c>
      <c r="AX118" s="16">
        <v>22</v>
      </c>
      <c r="AY118" s="14">
        <f>720+240+320+130+330+290+515+143+550+230+615+200+630+300+167+434+72+1120+1120+1200+360+1800</f>
        <v>11486</v>
      </c>
      <c r="AZ118" s="15">
        <f>8940+4142+7340+2768+6794+5730+10204+2629+11443+4633+11716+3961+12700+5831+3320+8720+1252+24961+6529+34500</f>
        <v>178113</v>
      </c>
      <c r="BA118" s="16">
        <v>3</v>
      </c>
      <c r="BB118" s="14">
        <v>2</v>
      </c>
      <c r="BC118" s="14">
        <v>7</v>
      </c>
      <c r="BD118" s="14">
        <v>11</v>
      </c>
      <c r="BE118" s="14">
        <v>9</v>
      </c>
      <c r="BF118" s="14">
        <v>6</v>
      </c>
      <c r="BG118" s="14">
        <v>5</v>
      </c>
      <c r="BH118" s="14">
        <v>5</v>
      </c>
      <c r="BI118" s="14">
        <v>0</v>
      </c>
      <c r="BJ118" s="14">
        <v>1</v>
      </c>
      <c r="BK118" s="14">
        <v>2</v>
      </c>
      <c r="BL118" s="14">
        <v>6</v>
      </c>
      <c r="BM118" s="17">
        <v>1</v>
      </c>
      <c r="BN118" s="18">
        <v>21</v>
      </c>
      <c r="BO118" s="8" t="s">
        <v>24</v>
      </c>
    </row>
    <row r="119" spans="1:67" ht="15.75">
      <c r="A119" s="8" t="s">
        <v>210</v>
      </c>
      <c r="B119" s="16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6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5">
        <v>0</v>
      </c>
      <c r="AL119" s="16">
        <v>0</v>
      </c>
      <c r="AM119" s="14">
        <v>0</v>
      </c>
      <c r="AN119" s="16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6">
        <v>0</v>
      </c>
      <c r="AU119" s="14">
        <v>0</v>
      </c>
      <c r="AV119" s="14">
        <v>0</v>
      </c>
      <c r="AW119" s="14">
        <v>0</v>
      </c>
      <c r="AX119" s="16">
        <v>2</v>
      </c>
      <c r="AY119" s="14">
        <f>110+120</f>
        <v>230</v>
      </c>
      <c r="AZ119" s="15">
        <f>330+360</f>
        <v>690</v>
      </c>
      <c r="BA119" s="16">
        <v>1</v>
      </c>
      <c r="BB119" s="14">
        <v>0</v>
      </c>
      <c r="BC119" s="14">
        <v>0</v>
      </c>
      <c r="BD119" s="14">
        <v>0</v>
      </c>
      <c r="BE119" s="14">
        <v>0</v>
      </c>
      <c r="BF119" s="14">
        <v>0</v>
      </c>
      <c r="BG119" s="14">
        <v>0</v>
      </c>
      <c r="BH119" s="14">
        <v>0</v>
      </c>
      <c r="BI119" s="14">
        <v>1</v>
      </c>
      <c r="BJ119" s="14">
        <v>2</v>
      </c>
      <c r="BK119" s="14">
        <v>0</v>
      </c>
      <c r="BL119" s="14">
        <v>0</v>
      </c>
      <c r="BM119" s="17">
        <v>0</v>
      </c>
      <c r="BN119" s="18">
        <v>2</v>
      </c>
      <c r="BO119" s="8" t="s">
        <v>25</v>
      </c>
    </row>
    <row r="120" spans="1:67" ht="15.75">
      <c r="A120" s="8" t="s">
        <v>211</v>
      </c>
      <c r="B120" s="16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6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5">
        <v>0</v>
      </c>
      <c r="AL120" s="16">
        <v>0</v>
      </c>
      <c r="AM120" s="14">
        <v>0</v>
      </c>
      <c r="AN120" s="16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6">
        <v>0</v>
      </c>
      <c r="AU120" s="14">
        <v>0</v>
      </c>
      <c r="AV120" s="14">
        <v>0</v>
      </c>
      <c r="AW120" s="14">
        <v>0</v>
      </c>
      <c r="AX120" s="16">
        <v>1</v>
      </c>
      <c r="AY120" s="14">
        <v>100</v>
      </c>
      <c r="AZ120" s="15">
        <v>100</v>
      </c>
      <c r="BA120" s="16">
        <v>1</v>
      </c>
      <c r="BB120" s="14">
        <v>0</v>
      </c>
      <c r="BC120" s="14">
        <v>0</v>
      </c>
      <c r="BD120" s="14">
        <v>0</v>
      </c>
      <c r="BE120" s="14">
        <v>0</v>
      </c>
      <c r="BF120" s="14">
        <v>0</v>
      </c>
      <c r="BG120" s="14">
        <v>0</v>
      </c>
      <c r="BH120" s="14">
        <v>0</v>
      </c>
      <c r="BI120" s="14">
        <v>1</v>
      </c>
      <c r="BJ120" s="14">
        <v>1</v>
      </c>
      <c r="BK120" s="14">
        <v>1</v>
      </c>
      <c r="BL120" s="14">
        <v>0</v>
      </c>
      <c r="BM120" s="17">
        <v>0</v>
      </c>
      <c r="BN120" s="18">
        <v>1</v>
      </c>
      <c r="BO120" s="8" t="s">
        <v>25</v>
      </c>
    </row>
    <row r="121" spans="1:67" ht="15.75">
      <c r="A121" s="8" t="s">
        <v>25</v>
      </c>
      <c r="B121" s="16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1</v>
      </c>
      <c r="O121" s="14">
        <v>9000</v>
      </c>
      <c r="P121" s="14">
        <v>1</v>
      </c>
      <c r="Q121" s="14">
        <v>9000</v>
      </c>
      <c r="R121" s="16">
        <v>5</v>
      </c>
      <c r="S121" s="14">
        <v>6650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5">
        <v>0</v>
      </c>
      <c r="AL121" s="16">
        <v>0</v>
      </c>
      <c r="AM121" s="14">
        <v>0</v>
      </c>
      <c r="AN121" s="16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6">
        <v>0</v>
      </c>
      <c r="AU121" s="14">
        <v>0</v>
      </c>
      <c r="AV121" s="14">
        <v>0</v>
      </c>
      <c r="AW121" s="14">
        <v>0</v>
      </c>
      <c r="AX121" s="16">
        <v>13</v>
      </c>
      <c r="AY121" s="14">
        <f>300+220+200+175+140+110+80+65+80+60+177+187+65</f>
        <v>1859</v>
      </c>
      <c r="AZ121" s="15">
        <f>9000+1000+7000+2000+4700</f>
        <v>23700</v>
      </c>
      <c r="BA121" s="16">
        <v>2</v>
      </c>
      <c r="BB121" s="14">
        <v>0</v>
      </c>
      <c r="BC121" s="14">
        <v>2</v>
      </c>
      <c r="BD121" s="14">
        <v>2</v>
      </c>
      <c r="BE121" s="14">
        <v>2</v>
      </c>
      <c r="BF121" s="14">
        <v>0</v>
      </c>
      <c r="BG121" s="14">
        <v>2</v>
      </c>
      <c r="BH121" s="14">
        <v>2</v>
      </c>
      <c r="BI121" s="14">
        <v>6</v>
      </c>
      <c r="BJ121" s="14">
        <v>10</v>
      </c>
      <c r="BK121" s="14">
        <v>2</v>
      </c>
      <c r="BL121" s="14">
        <v>3</v>
      </c>
      <c r="BM121" s="17">
        <v>1</v>
      </c>
      <c r="BN121" s="18">
        <v>12</v>
      </c>
      <c r="BO121" s="8" t="s">
        <v>25</v>
      </c>
    </row>
    <row r="122" spans="1:67" ht="15.75">
      <c r="A122" s="8" t="s">
        <v>212</v>
      </c>
      <c r="B122" s="16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6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5">
        <v>0</v>
      </c>
      <c r="AL122" s="16">
        <v>0</v>
      </c>
      <c r="AM122" s="14">
        <v>0</v>
      </c>
      <c r="AN122" s="16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6">
        <v>0</v>
      </c>
      <c r="AU122" s="14">
        <v>0</v>
      </c>
      <c r="AV122" s="14">
        <v>0</v>
      </c>
      <c r="AW122" s="14">
        <v>0</v>
      </c>
      <c r="AX122" s="16">
        <v>2</v>
      </c>
      <c r="AY122" s="14">
        <f>70+15</f>
        <v>85</v>
      </c>
      <c r="AZ122" s="15">
        <f>140+30</f>
        <v>170</v>
      </c>
      <c r="BA122" s="16">
        <v>0</v>
      </c>
      <c r="BB122" s="14">
        <v>0</v>
      </c>
      <c r="BC122" s="14">
        <v>0</v>
      </c>
      <c r="BD122" s="14">
        <v>0</v>
      </c>
      <c r="BE122" s="14">
        <v>0</v>
      </c>
      <c r="BF122" s="14">
        <v>0</v>
      </c>
      <c r="BG122" s="14">
        <v>0</v>
      </c>
      <c r="BH122" s="14">
        <v>0</v>
      </c>
      <c r="BI122" s="14">
        <v>0</v>
      </c>
      <c r="BJ122" s="14">
        <v>2</v>
      </c>
      <c r="BK122" s="14">
        <v>0</v>
      </c>
      <c r="BL122" s="14">
        <v>0</v>
      </c>
      <c r="BM122" s="17">
        <v>0</v>
      </c>
      <c r="BN122" s="18">
        <v>2</v>
      </c>
      <c r="BO122" s="8" t="s">
        <v>25</v>
      </c>
    </row>
    <row r="123" spans="1:67" ht="15.75">
      <c r="A123" s="8" t="s">
        <v>213</v>
      </c>
      <c r="B123" s="16">
        <v>1</v>
      </c>
      <c r="C123" s="14">
        <v>100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6">
        <v>2</v>
      </c>
      <c r="S123" s="14">
        <v>438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5">
        <v>0</v>
      </c>
      <c r="AL123" s="16">
        <v>0</v>
      </c>
      <c r="AM123" s="14">
        <v>0</v>
      </c>
      <c r="AN123" s="16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6">
        <v>2</v>
      </c>
      <c r="AU123" s="14">
        <v>0</v>
      </c>
      <c r="AV123" s="14">
        <v>0</v>
      </c>
      <c r="AW123" s="14">
        <v>0</v>
      </c>
      <c r="AX123" s="16">
        <v>9</v>
      </c>
      <c r="AY123" s="14">
        <f>82+190+90+5+76+45+94+280+80</f>
        <v>942</v>
      </c>
      <c r="AZ123" s="15">
        <f>4080+9500+4500+250+304+180+376+1400+480</f>
        <v>21070</v>
      </c>
      <c r="BA123" s="16">
        <v>3</v>
      </c>
      <c r="BB123" s="14">
        <v>1</v>
      </c>
      <c r="BC123" s="14">
        <v>0</v>
      </c>
      <c r="BD123" s="14">
        <v>1</v>
      </c>
      <c r="BE123" s="14">
        <v>2</v>
      </c>
      <c r="BF123" s="14">
        <v>0</v>
      </c>
      <c r="BG123" s="14">
        <v>0</v>
      </c>
      <c r="BH123" s="14">
        <v>2</v>
      </c>
      <c r="BI123" s="14">
        <v>3</v>
      </c>
      <c r="BJ123" s="14">
        <v>5</v>
      </c>
      <c r="BK123" s="14">
        <v>4</v>
      </c>
      <c r="BL123" s="14">
        <v>1</v>
      </c>
      <c r="BM123" s="17">
        <v>0</v>
      </c>
      <c r="BN123" s="18">
        <v>9</v>
      </c>
      <c r="BO123" s="8" t="s">
        <v>25</v>
      </c>
    </row>
    <row r="124" spans="1:67" ht="15.75">
      <c r="A124" s="8" t="s">
        <v>214</v>
      </c>
      <c r="B124" s="16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6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15">
        <v>0</v>
      </c>
      <c r="AL124" s="16">
        <v>0</v>
      </c>
      <c r="AM124" s="14">
        <v>0</v>
      </c>
      <c r="AN124" s="16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6">
        <v>0</v>
      </c>
      <c r="AU124" s="14">
        <v>0</v>
      </c>
      <c r="AV124" s="14">
        <v>0</v>
      </c>
      <c r="AW124" s="14">
        <v>1</v>
      </c>
      <c r="AX124" s="16">
        <v>5</v>
      </c>
      <c r="AY124" s="14">
        <f>50+120</f>
        <v>170</v>
      </c>
      <c r="AZ124" s="15">
        <v>2000</v>
      </c>
      <c r="BA124" s="16">
        <v>0</v>
      </c>
      <c r="BB124" s="14">
        <v>1</v>
      </c>
      <c r="BC124" s="14">
        <v>0</v>
      </c>
      <c r="BD124" s="14">
        <v>0</v>
      </c>
      <c r="BE124" s="14">
        <v>0</v>
      </c>
      <c r="BF124" s="14">
        <v>0</v>
      </c>
      <c r="BG124" s="14">
        <v>0</v>
      </c>
      <c r="BH124" s="14">
        <v>0</v>
      </c>
      <c r="BI124" s="14">
        <v>3</v>
      </c>
      <c r="BJ124" s="14">
        <v>5</v>
      </c>
      <c r="BK124" s="14">
        <v>2</v>
      </c>
      <c r="BL124" s="14">
        <v>0</v>
      </c>
      <c r="BM124" s="17">
        <v>0</v>
      </c>
      <c r="BN124" s="18">
        <v>0</v>
      </c>
      <c r="BO124" s="8" t="s">
        <v>25</v>
      </c>
    </row>
    <row r="125" spans="1:67" ht="15.75">
      <c r="A125" s="8" t="s">
        <v>215</v>
      </c>
      <c r="B125" s="16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6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15">
        <v>0</v>
      </c>
      <c r="AL125" s="16">
        <v>0</v>
      </c>
      <c r="AM125" s="14">
        <v>0</v>
      </c>
      <c r="AN125" s="16">
        <v>0</v>
      </c>
      <c r="AO125" s="14">
        <v>0</v>
      </c>
      <c r="AP125" s="14">
        <v>0</v>
      </c>
      <c r="AQ125" s="14">
        <v>0</v>
      </c>
      <c r="AR125" s="14">
        <v>0</v>
      </c>
      <c r="AS125" s="14">
        <v>0</v>
      </c>
      <c r="AT125" s="16">
        <v>0</v>
      </c>
      <c r="AU125" s="14">
        <v>0</v>
      </c>
      <c r="AV125" s="14">
        <v>0</v>
      </c>
      <c r="AW125" s="14">
        <v>0</v>
      </c>
      <c r="AX125" s="16">
        <v>1</v>
      </c>
      <c r="AY125" s="14">
        <v>180</v>
      </c>
      <c r="AZ125" s="15">
        <v>650</v>
      </c>
      <c r="BA125" s="16">
        <v>1</v>
      </c>
      <c r="BB125" s="14">
        <v>0</v>
      </c>
      <c r="BC125" s="14">
        <v>0</v>
      </c>
      <c r="BD125" s="14">
        <v>0</v>
      </c>
      <c r="BE125" s="14">
        <v>0</v>
      </c>
      <c r="BF125" s="14">
        <v>0</v>
      </c>
      <c r="BG125" s="14">
        <v>0</v>
      </c>
      <c r="BH125" s="14">
        <v>0</v>
      </c>
      <c r="BI125" s="14">
        <v>1</v>
      </c>
      <c r="BJ125" s="14">
        <v>1</v>
      </c>
      <c r="BK125" s="14">
        <v>1</v>
      </c>
      <c r="BL125" s="14">
        <v>0</v>
      </c>
      <c r="BM125" s="17">
        <v>0</v>
      </c>
      <c r="BN125" s="18">
        <v>1</v>
      </c>
      <c r="BO125" s="8" t="s">
        <v>25</v>
      </c>
    </row>
    <row r="126" spans="1:67" ht="15.75">
      <c r="A126" s="8" t="s">
        <v>216</v>
      </c>
      <c r="B126" s="16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6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5">
        <v>0</v>
      </c>
      <c r="AL126" s="16">
        <v>0</v>
      </c>
      <c r="AM126" s="14">
        <v>0</v>
      </c>
      <c r="AN126" s="16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6">
        <v>0</v>
      </c>
      <c r="AU126" s="14">
        <v>0</v>
      </c>
      <c r="AV126" s="14">
        <v>0</v>
      </c>
      <c r="AW126" s="14">
        <v>0</v>
      </c>
      <c r="AX126" s="16">
        <v>2</v>
      </c>
      <c r="AY126" s="14">
        <f>600+400</f>
        <v>1000</v>
      </c>
      <c r="AZ126" s="15">
        <v>500</v>
      </c>
      <c r="BA126" s="16">
        <v>0</v>
      </c>
      <c r="BB126" s="14">
        <v>0</v>
      </c>
      <c r="BC126" s="14">
        <v>0</v>
      </c>
      <c r="BD126" s="14">
        <v>0</v>
      </c>
      <c r="BE126" s="14">
        <v>0</v>
      </c>
      <c r="BF126" s="14">
        <v>0</v>
      </c>
      <c r="BG126" s="14">
        <v>0</v>
      </c>
      <c r="BH126" s="14">
        <v>0</v>
      </c>
      <c r="BI126" s="14">
        <v>1</v>
      </c>
      <c r="BJ126" s="14">
        <v>2</v>
      </c>
      <c r="BK126" s="14">
        <v>0</v>
      </c>
      <c r="BL126" s="14">
        <v>0</v>
      </c>
      <c r="BM126" s="17">
        <v>0</v>
      </c>
      <c r="BN126" s="18">
        <v>0</v>
      </c>
      <c r="BO126" s="8" t="s">
        <v>25</v>
      </c>
    </row>
    <row r="127" spans="1:67" ht="15.75">
      <c r="A127" s="8" t="s">
        <v>217</v>
      </c>
      <c r="B127" s="16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6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5">
        <v>0</v>
      </c>
      <c r="AL127" s="16">
        <v>0</v>
      </c>
      <c r="AM127" s="14">
        <v>0</v>
      </c>
      <c r="AN127" s="16">
        <v>0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  <c r="AT127" s="16">
        <v>0</v>
      </c>
      <c r="AU127" s="14">
        <v>0</v>
      </c>
      <c r="AV127" s="14">
        <v>0</v>
      </c>
      <c r="AW127" s="14">
        <v>0</v>
      </c>
      <c r="AX127" s="16">
        <v>2</v>
      </c>
      <c r="AY127" s="14">
        <f>2+50</f>
        <v>52</v>
      </c>
      <c r="AZ127" s="15">
        <v>0</v>
      </c>
      <c r="BA127" s="16">
        <v>0</v>
      </c>
      <c r="BB127" s="14">
        <v>0</v>
      </c>
      <c r="BC127" s="14">
        <v>0</v>
      </c>
      <c r="BD127" s="14">
        <v>0</v>
      </c>
      <c r="BE127" s="14">
        <v>0</v>
      </c>
      <c r="BF127" s="14">
        <v>0</v>
      </c>
      <c r="BG127" s="14">
        <v>0</v>
      </c>
      <c r="BH127" s="14">
        <v>0</v>
      </c>
      <c r="BI127" s="14">
        <v>1</v>
      </c>
      <c r="BJ127" s="14">
        <v>1</v>
      </c>
      <c r="BK127" s="14">
        <v>0</v>
      </c>
      <c r="BL127" s="14">
        <v>0</v>
      </c>
      <c r="BM127" s="17">
        <v>0</v>
      </c>
      <c r="BN127" s="18">
        <v>2</v>
      </c>
      <c r="BO127" s="8" t="s">
        <v>25</v>
      </c>
    </row>
    <row r="128" spans="1:67" ht="15.75">
      <c r="A128" s="8" t="s">
        <v>218</v>
      </c>
      <c r="B128" s="16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6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5">
        <v>0</v>
      </c>
      <c r="AL128" s="16">
        <v>0</v>
      </c>
      <c r="AM128" s="14">
        <v>0</v>
      </c>
      <c r="AN128" s="16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6">
        <v>0</v>
      </c>
      <c r="AU128" s="14">
        <v>0</v>
      </c>
      <c r="AV128" s="14">
        <v>0</v>
      </c>
      <c r="AW128" s="14">
        <v>0</v>
      </c>
      <c r="AX128" s="16">
        <v>6</v>
      </c>
      <c r="AY128" s="14">
        <f>18+155+177+885+734+209</f>
        <v>2178</v>
      </c>
      <c r="AZ128" s="15">
        <f>540+2325+1417+7078+1835+522</f>
        <v>13717</v>
      </c>
      <c r="BA128" s="16">
        <v>1</v>
      </c>
      <c r="BB128" s="14">
        <v>0</v>
      </c>
      <c r="BC128" s="14">
        <v>0</v>
      </c>
      <c r="BD128" s="14">
        <v>0</v>
      </c>
      <c r="BE128" s="14">
        <v>0</v>
      </c>
      <c r="BF128" s="14">
        <v>0</v>
      </c>
      <c r="BG128" s="14">
        <v>0</v>
      </c>
      <c r="BH128" s="14">
        <v>0</v>
      </c>
      <c r="BI128" s="14">
        <v>2</v>
      </c>
      <c r="BJ128" s="14">
        <v>4</v>
      </c>
      <c r="BK128" s="14">
        <v>0</v>
      </c>
      <c r="BL128" s="14">
        <v>0</v>
      </c>
      <c r="BM128" s="17">
        <v>0</v>
      </c>
      <c r="BN128" s="18">
        <v>4</v>
      </c>
      <c r="BO128" s="8" t="s">
        <v>25</v>
      </c>
    </row>
    <row r="129" spans="1:67" ht="15.75">
      <c r="A129" s="8" t="s">
        <v>219</v>
      </c>
      <c r="B129" s="16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6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5">
        <v>0</v>
      </c>
      <c r="AL129" s="16">
        <v>0</v>
      </c>
      <c r="AM129" s="14">
        <v>0</v>
      </c>
      <c r="AN129" s="16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6">
        <v>0</v>
      </c>
      <c r="AU129" s="14">
        <v>0</v>
      </c>
      <c r="AV129" s="14">
        <v>0</v>
      </c>
      <c r="AW129" s="14">
        <v>0</v>
      </c>
      <c r="AX129" s="16">
        <v>1</v>
      </c>
      <c r="AY129" s="14" t="s">
        <v>115</v>
      </c>
      <c r="AZ129" s="15">
        <v>0</v>
      </c>
      <c r="BA129" s="16">
        <v>1</v>
      </c>
      <c r="BB129" s="14">
        <v>0</v>
      </c>
      <c r="BC129" s="14">
        <v>0</v>
      </c>
      <c r="BD129" s="14">
        <v>0</v>
      </c>
      <c r="BE129" s="14">
        <v>0</v>
      </c>
      <c r="BF129" s="14">
        <v>0</v>
      </c>
      <c r="BG129" s="14">
        <v>0</v>
      </c>
      <c r="BH129" s="14">
        <v>0</v>
      </c>
      <c r="BI129" s="14">
        <v>1</v>
      </c>
      <c r="BJ129" s="14">
        <v>1</v>
      </c>
      <c r="BK129" s="14">
        <v>0</v>
      </c>
      <c r="BL129" s="14">
        <v>0</v>
      </c>
      <c r="BM129" s="17">
        <v>0</v>
      </c>
      <c r="BN129" s="18">
        <v>2</v>
      </c>
      <c r="BO129" s="8" t="s">
        <v>25</v>
      </c>
    </row>
    <row r="130" spans="1:67" ht="15.75">
      <c r="A130" s="8" t="s">
        <v>220</v>
      </c>
      <c r="B130" s="16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6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5">
        <v>0</v>
      </c>
      <c r="AL130" s="16">
        <v>0</v>
      </c>
      <c r="AM130" s="14">
        <v>0</v>
      </c>
      <c r="AN130" s="16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6">
        <v>0</v>
      </c>
      <c r="AU130" s="14">
        <v>0</v>
      </c>
      <c r="AV130" s="14">
        <v>0</v>
      </c>
      <c r="AW130" s="14">
        <v>0</v>
      </c>
      <c r="AX130" s="16">
        <v>1</v>
      </c>
      <c r="AY130" s="14">
        <v>200</v>
      </c>
      <c r="AZ130" s="15">
        <v>2000</v>
      </c>
      <c r="BA130" s="16">
        <v>0</v>
      </c>
      <c r="BB130" s="14">
        <v>0</v>
      </c>
      <c r="BC130" s="14">
        <v>0</v>
      </c>
      <c r="BD130" s="14">
        <v>0</v>
      </c>
      <c r="BE130" s="14">
        <v>0</v>
      </c>
      <c r="BF130" s="14">
        <v>0</v>
      </c>
      <c r="BG130" s="14">
        <v>0</v>
      </c>
      <c r="BH130" s="14">
        <v>0</v>
      </c>
      <c r="BI130" s="14">
        <v>1</v>
      </c>
      <c r="BJ130" s="14">
        <v>1</v>
      </c>
      <c r="BK130" s="14">
        <v>0</v>
      </c>
      <c r="BL130" s="14">
        <v>0</v>
      </c>
      <c r="BM130" s="17">
        <v>0</v>
      </c>
      <c r="BN130" s="18">
        <v>0</v>
      </c>
      <c r="BO130" s="8" t="s">
        <v>25</v>
      </c>
    </row>
    <row r="131" spans="1:67" ht="15.75">
      <c r="A131" s="8" t="s">
        <v>221</v>
      </c>
      <c r="B131" s="16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6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5">
        <v>0</v>
      </c>
      <c r="AL131" s="16">
        <v>0</v>
      </c>
      <c r="AM131" s="14">
        <v>0</v>
      </c>
      <c r="AN131" s="16">
        <v>0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6">
        <v>0</v>
      </c>
      <c r="AU131" s="14">
        <v>0</v>
      </c>
      <c r="AV131" s="14">
        <v>0</v>
      </c>
      <c r="AW131" s="14">
        <v>0</v>
      </c>
      <c r="AX131" s="16">
        <v>2</v>
      </c>
      <c r="AY131" s="14">
        <f>100+50</f>
        <v>150</v>
      </c>
      <c r="AZ131" s="15">
        <f>600+300</f>
        <v>900</v>
      </c>
      <c r="BA131" s="16">
        <v>1</v>
      </c>
      <c r="BB131" s="14">
        <v>0</v>
      </c>
      <c r="BC131" s="14">
        <v>0</v>
      </c>
      <c r="BD131" s="14">
        <v>0</v>
      </c>
      <c r="BE131" s="14">
        <v>0</v>
      </c>
      <c r="BF131" s="14">
        <v>0</v>
      </c>
      <c r="BG131" s="14">
        <v>0</v>
      </c>
      <c r="BH131" s="14">
        <v>0</v>
      </c>
      <c r="BI131" s="14">
        <v>2</v>
      </c>
      <c r="BJ131" s="14">
        <v>1</v>
      </c>
      <c r="BK131" s="14">
        <v>0</v>
      </c>
      <c r="BL131" s="14">
        <v>0</v>
      </c>
      <c r="BM131" s="17">
        <v>0</v>
      </c>
      <c r="BN131" s="18">
        <v>2</v>
      </c>
      <c r="BO131" s="8" t="s">
        <v>25</v>
      </c>
    </row>
    <row r="132" spans="1:67" ht="15.75">
      <c r="A132" s="8" t="s">
        <v>222</v>
      </c>
      <c r="B132" s="16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6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5">
        <v>0</v>
      </c>
      <c r="AL132" s="16">
        <v>0</v>
      </c>
      <c r="AM132" s="14">
        <v>0</v>
      </c>
      <c r="AN132" s="16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6">
        <v>0</v>
      </c>
      <c r="AU132" s="14">
        <v>0</v>
      </c>
      <c r="AV132" s="14">
        <v>0</v>
      </c>
      <c r="AW132" s="14">
        <v>0</v>
      </c>
      <c r="AX132" s="16">
        <v>6</v>
      </c>
      <c r="AY132" s="14">
        <f>170+90+14+100+130+40</f>
        <v>544</v>
      </c>
      <c r="AZ132" s="15">
        <f>680+270+210+300+390+120</f>
        <v>1970</v>
      </c>
      <c r="BA132" s="16">
        <v>0</v>
      </c>
      <c r="BB132" s="14">
        <v>0</v>
      </c>
      <c r="BC132" s="14">
        <v>0</v>
      </c>
      <c r="BD132" s="14">
        <v>0</v>
      </c>
      <c r="BE132" s="14">
        <v>0</v>
      </c>
      <c r="BF132" s="14">
        <v>0</v>
      </c>
      <c r="BG132" s="14">
        <v>0</v>
      </c>
      <c r="BH132" s="14">
        <v>0</v>
      </c>
      <c r="BI132" s="14">
        <v>1</v>
      </c>
      <c r="BJ132" s="14">
        <v>6</v>
      </c>
      <c r="BK132" s="14">
        <v>2</v>
      </c>
      <c r="BL132" s="14">
        <v>0</v>
      </c>
      <c r="BM132" s="17">
        <v>0</v>
      </c>
      <c r="BN132" s="18">
        <v>6</v>
      </c>
      <c r="BO132" s="8" t="s">
        <v>25</v>
      </c>
    </row>
    <row r="133" spans="1:67" ht="15.75">
      <c r="A133" s="8" t="s">
        <v>26</v>
      </c>
      <c r="B133" s="16">
        <v>3</v>
      </c>
      <c r="C133" s="14">
        <v>1700</v>
      </c>
      <c r="D133" s="14">
        <v>3</v>
      </c>
      <c r="E133" s="14">
        <v>170000</v>
      </c>
      <c r="F133" s="14">
        <v>0</v>
      </c>
      <c r="G133" s="14">
        <v>0</v>
      </c>
      <c r="H133" s="14">
        <v>5</v>
      </c>
      <c r="I133" s="14">
        <v>0</v>
      </c>
      <c r="J133" s="14">
        <v>2</v>
      </c>
      <c r="K133" s="14">
        <v>10500</v>
      </c>
      <c r="L133" s="14">
        <v>0</v>
      </c>
      <c r="M133" s="14">
        <v>0</v>
      </c>
      <c r="N133" s="14">
        <v>2</v>
      </c>
      <c r="O133" s="14">
        <v>10500</v>
      </c>
      <c r="P133" s="14">
        <v>1</v>
      </c>
      <c r="Q133" s="14">
        <v>13000</v>
      </c>
      <c r="R133" s="16">
        <v>3</v>
      </c>
      <c r="S133" s="14">
        <v>214000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5">
        <v>0</v>
      </c>
      <c r="AL133" s="16">
        <v>0</v>
      </c>
      <c r="AM133" s="14">
        <v>0</v>
      </c>
      <c r="AN133" s="16">
        <v>0</v>
      </c>
      <c r="AO133" s="14">
        <v>0</v>
      </c>
      <c r="AP133" s="14">
        <v>0</v>
      </c>
      <c r="AQ133" s="14">
        <v>14</v>
      </c>
      <c r="AR133" s="14">
        <v>7</v>
      </c>
      <c r="AS133" s="14">
        <v>0</v>
      </c>
      <c r="AT133" s="16">
        <v>28</v>
      </c>
      <c r="AU133" s="14">
        <v>1</v>
      </c>
      <c r="AV133" s="14">
        <v>76</v>
      </c>
      <c r="AW133" s="14">
        <v>0</v>
      </c>
      <c r="AX133" s="16">
        <v>26</v>
      </c>
      <c r="AY133" s="14">
        <f>550+450+120+235+80+320+150+180+180+140+150+345+280+230+20+150+500+350+300+500+400+500+210+180+104+800</f>
        <v>7424</v>
      </c>
      <c r="AZ133" s="15">
        <v>0</v>
      </c>
      <c r="BA133" s="16">
        <v>6</v>
      </c>
      <c r="BB133" s="14">
        <v>6</v>
      </c>
      <c r="BC133" s="14">
        <v>0</v>
      </c>
      <c r="BD133" s="14">
        <v>2</v>
      </c>
      <c r="BE133" s="14">
        <v>2</v>
      </c>
      <c r="BF133" s="14">
        <v>1</v>
      </c>
      <c r="BG133" s="14">
        <v>5</v>
      </c>
      <c r="BH133" s="14">
        <v>2</v>
      </c>
      <c r="BI133" s="14">
        <v>3</v>
      </c>
      <c r="BJ133" s="14">
        <v>2</v>
      </c>
      <c r="BK133" s="14">
        <v>3</v>
      </c>
      <c r="BL133" s="14">
        <v>0</v>
      </c>
      <c r="BM133" s="17">
        <v>0</v>
      </c>
      <c r="BN133" s="18">
        <v>0</v>
      </c>
      <c r="BO133" s="8" t="s">
        <v>26</v>
      </c>
    </row>
    <row r="134" spans="1:67" ht="15.75">
      <c r="A134" s="8" t="s">
        <v>223</v>
      </c>
      <c r="B134" s="16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6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5">
        <v>0</v>
      </c>
      <c r="AL134" s="16">
        <v>0</v>
      </c>
      <c r="AM134" s="14">
        <v>0</v>
      </c>
      <c r="AN134" s="16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6">
        <v>0</v>
      </c>
      <c r="AU134" s="14">
        <v>0</v>
      </c>
      <c r="AV134" s="14">
        <v>0</v>
      </c>
      <c r="AW134" s="14">
        <v>0</v>
      </c>
      <c r="AX134" s="16">
        <v>7</v>
      </c>
      <c r="AY134" s="14">
        <f>200+70+90+84+60+100+136</f>
        <v>740</v>
      </c>
      <c r="AZ134" s="15">
        <v>0</v>
      </c>
      <c r="BA134" s="16">
        <v>0</v>
      </c>
      <c r="BB134" s="14">
        <v>0</v>
      </c>
      <c r="BC134" s="14">
        <v>0</v>
      </c>
      <c r="BD134" s="14">
        <v>0</v>
      </c>
      <c r="BE134" s="14">
        <v>0</v>
      </c>
      <c r="BF134" s="14">
        <v>0</v>
      </c>
      <c r="BG134" s="14">
        <v>0</v>
      </c>
      <c r="BH134" s="14">
        <v>0</v>
      </c>
      <c r="BI134" s="14">
        <v>3</v>
      </c>
      <c r="BJ134" s="14">
        <v>4</v>
      </c>
      <c r="BK134" s="14">
        <v>0</v>
      </c>
      <c r="BL134" s="14">
        <v>0</v>
      </c>
      <c r="BM134" s="17">
        <v>0</v>
      </c>
      <c r="BN134" s="18">
        <v>0</v>
      </c>
      <c r="BO134" s="8" t="s">
        <v>26</v>
      </c>
    </row>
    <row r="135" spans="1:67" ht="15.75">
      <c r="A135" s="8" t="s">
        <v>224</v>
      </c>
      <c r="B135" s="16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6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5">
        <v>0</v>
      </c>
      <c r="AL135" s="16">
        <v>0</v>
      </c>
      <c r="AM135" s="14">
        <v>0</v>
      </c>
      <c r="AN135" s="16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6">
        <v>0</v>
      </c>
      <c r="AU135" s="14">
        <v>0</v>
      </c>
      <c r="AV135" s="14">
        <v>0</v>
      </c>
      <c r="AW135" s="14">
        <v>0</v>
      </c>
      <c r="AX135" s="16">
        <v>3</v>
      </c>
      <c r="AY135" s="14">
        <f>100+30+100</f>
        <v>230</v>
      </c>
      <c r="AZ135" s="15">
        <v>0</v>
      </c>
      <c r="BA135" s="16">
        <v>0</v>
      </c>
      <c r="BB135" s="14">
        <v>0</v>
      </c>
      <c r="BC135" s="14">
        <v>0</v>
      </c>
      <c r="BD135" s="14">
        <v>0</v>
      </c>
      <c r="BE135" s="14">
        <v>0</v>
      </c>
      <c r="BF135" s="14">
        <v>0</v>
      </c>
      <c r="BG135" s="14">
        <v>0</v>
      </c>
      <c r="BH135" s="14">
        <v>0</v>
      </c>
      <c r="BI135" s="14">
        <v>1</v>
      </c>
      <c r="BJ135" s="14">
        <v>2</v>
      </c>
      <c r="BK135" s="14">
        <v>0</v>
      </c>
      <c r="BL135" s="14">
        <v>0</v>
      </c>
      <c r="BM135" s="17">
        <v>0</v>
      </c>
      <c r="BN135" s="18">
        <v>0</v>
      </c>
      <c r="BO135" s="8" t="s">
        <v>26</v>
      </c>
    </row>
    <row r="136" spans="1:67" ht="15.75">
      <c r="A136" s="8" t="s">
        <v>225</v>
      </c>
      <c r="B136" s="16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6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15">
        <v>0</v>
      </c>
      <c r="AL136" s="16">
        <v>0</v>
      </c>
      <c r="AM136" s="14">
        <v>0</v>
      </c>
      <c r="AN136" s="16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6">
        <v>0</v>
      </c>
      <c r="AU136" s="14">
        <v>0</v>
      </c>
      <c r="AV136" s="14">
        <v>0</v>
      </c>
      <c r="AW136" s="14">
        <v>0</v>
      </c>
      <c r="AX136" s="16">
        <v>1</v>
      </c>
      <c r="AY136" s="14">
        <v>150</v>
      </c>
      <c r="AZ136" s="15">
        <v>0</v>
      </c>
      <c r="BA136" s="16">
        <v>0</v>
      </c>
      <c r="BB136" s="14">
        <v>0</v>
      </c>
      <c r="BC136" s="14">
        <v>0</v>
      </c>
      <c r="BD136" s="14">
        <v>0</v>
      </c>
      <c r="BE136" s="14">
        <v>0</v>
      </c>
      <c r="BF136" s="14">
        <v>0</v>
      </c>
      <c r="BG136" s="14">
        <v>0</v>
      </c>
      <c r="BH136" s="14">
        <v>0</v>
      </c>
      <c r="BI136" s="14">
        <v>0</v>
      </c>
      <c r="BJ136" s="14">
        <v>1</v>
      </c>
      <c r="BK136" s="14">
        <v>0</v>
      </c>
      <c r="BL136" s="14">
        <v>0</v>
      </c>
      <c r="BM136" s="17">
        <v>0</v>
      </c>
      <c r="BN136" s="18">
        <v>0</v>
      </c>
      <c r="BO136" s="8" t="s">
        <v>26</v>
      </c>
    </row>
    <row r="137" spans="1:67" ht="15.75">
      <c r="A137" s="8" t="s">
        <v>27</v>
      </c>
      <c r="B137" s="16" t="s">
        <v>115</v>
      </c>
      <c r="C137" s="14" t="s">
        <v>115</v>
      </c>
      <c r="D137" s="14" t="s">
        <v>115</v>
      </c>
      <c r="E137" s="14" t="s">
        <v>115</v>
      </c>
      <c r="F137" s="14" t="s">
        <v>115</v>
      </c>
      <c r="G137" s="14" t="s">
        <v>115</v>
      </c>
      <c r="H137" s="14" t="s">
        <v>115</v>
      </c>
      <c r="I137" s="14" t="s">
        <v>115</v>
      </c>
      <c r="J137" s="14" t="s">
        <v>115</v>
      </c>
      <c r="K137" s="14" t="s">
        <v>115</v>
      </c>
      <c r="L137" s="14" t="s">
        <v>115</v>
      </c>
      <c r="M137" s="14" t="s">
        <v>115</v>
      </c>
      <c r="N137" s="14" t="s">
        <v>115</v>
      </c>
      <c r="O137" s="14" t="s">
        <v>115</v>
      </c>
      <c r="P137" s="14" t="s">
        <v>115</v>
      </c>
      <c r="Q137" s="14" t="s">
        <v>115</v>
      </c>
      <c r="R137" s="16" t="s">
        <v>115</v>
      </c>
      <c r="S137" s="14" t="s">
        <v>115</v>
      </c>
      <c r="T137" s="14" t="s">
        <v>115</v>
      </c>
      <c r="U137" s="14" t="s">
        <v>115</v>
      </c>
      <c r="V137" s="14" t="s">
        <v>115</v>
      </c>
      <c r="W137" s="14" t="s">
        <v>115</v>
      </c>
      <c r="X137" s="14" t="s">
        <v>115</v>
      </c>
      <c r="Y137" s="14" t="s">
        <v>115</v>
      </c>
      <c r="Z137" s="14" t="s">
        <v>115</v>
      </c>
      <c r="AA137" s="14" t="s">
        <v>115</v>
      </c>
      <c r="AB137" s="14" t="s">
        <v>115</v>
      </c>
      <c r="AC137" s="14" t="s">
        <v>115</v>
      </c>
      <c r="AD137" s="14" t="s">
        <v>115</v>
      </c>
      <c r="AE137" s="14" t="s">
        <v>115</v>
      </c>
      <c r="AF137" s="14" t="s">
        <v>115</v>
      </c>
      <c r="AG137" s="14" t="s">
        <v>115</v>
      </c>
      <c r="AH137" s="14" t="s">
        <v>115</v>
      </c>
      <c r="AI137" s="14" t="s">
        <v>115</v>
      </c>
      <c r="AJ137" s="14" t="s">
        <v>115</v>
      </c>
      <c r="AK137" s="14" t="s">
        <v>115</v>
      </c>
      <c r="AL137" s="16" t="s">
        <v>115</v>
      </c>
      <c r="AM137" s="14" t="s">
        <v>115</v>
      </c>
      <c r="AN137" s="16" t="s">
        <v>115</v>
      </c>
      <c r="AO137" s="14" t="s">
        <v>115</v>
      </c>
      <c r="AP137" s="14" t="s">
        <v>115</v>
      </c>
      <c r="AQ137" s="14" t="s">
        <v>115</v>
      </c>
      <c r="AR137" s="14" t="s">
        <v>115</v>
      </c>
      <c r="AS137" s="14" t="s">
        <v>115</v>
      </c>
      <c r="AT137" s="16" t="s">
        <v>115</v>
      </c>
      <c r="AU137" s="14" t="s">
        <v>115</v>
      </c>
      <c r="AV137" s="14" t="s">
        <v>115</v>
      </c>
      <c r="AW137" s="14" t="s">
        <v>115</v>
      </c>
      <c r="AX137" s="16" t="s">
        <v>115</v>
      </c>
      <c r="AY137" s="14" t="s">
        <v>115</v>
      </c>
      <c r="AZ137" s="14" t="s">
        <v>115</v>
      </c>
      <c r="BA137" s="16" t="s">
        <v>115</v>
      </c>
      <c r="BB137" s="14" t="s">
        <v>115</v>
      </c>
      <c r="BC137" s="14" t="s">
        <v>115</v>
      </c>
      <c r="BD137" s="14" t="s">
        <v>115</v>
      </c>
      <c r="BE137" s="14" t="s">
        <v>115</v>
      </c>
      <c r="BF137" s="14" t="s">
        <v>115</v>
      </c>
      <c r="BG137" s="14" t="s">
        <v>115</v>
      </c>
      <c r="BH137" s="14" t="s">
        <v>115</v>
      </c>
      <c r="BI137" s="14" t="s">
        <v>115</v>
      </c>
      <c r="BJ137" s="14" t="s">
        <v>115</v>
      </c>
      <c r="BK137" s="14" t="s">
        <v>115</v>
      </c>
      <c r="BL137" s="14" t="s">
        <v>115</v>
      </c>
      <c r="BM137" s="16" t="s">
        <v>115</v>
      </c>
      <c r="BN137" s="14" t="s">
        <v>115</v>
      </c>
      <c r="BO137" s="8" t="s">
        <v>27</v>
      </c>
    </row>
    <row r="138" spans="1:67" ht="15.75">
      <c r="A138" s="8" t="s">
        <v>226</v>
      </c>
      <c r="B138" s="16" t="s">
        <v>115</v>
      </c>
      <c r="C138" s="14" t="s">
        <v>115</v>
      </c>
      <c r="D138" s="14" t="s">
        <v>115</v>
      </c>
      <c r="E138" s="14" t="s">
        <v>115</v>
      </c>
      <c r="F138" s="14" t="s">
        <v>115</v>
      </c>
      <c r="G138" s="14" t="s">
        <v>115</v>
      </c>
      <c r="H138" s="14" t="s">
        <v>115</v>
      </c>
      <c r="I138" s="14" t="s">
        <v>115</v>
      </c>
      <c r="J138" s="14" t="s">
        <v>115</v>
      </c>
      <c r="K138" s="14" t="s">
        <v>115</v>
      </c>
      <c r="L138" s="14" t="s">
        <v>115</v>
      </c>
      <c r="M138" s="14" t="s">
        <v>115</v>
      </c>
      <c r="N138" s="14" t="s">
        <v>115</v>
      </c>
      <c r="O138" s="14" t="s">
        <v>115</v>
      </c>
      <c r="P138" s="14" t="s">
        <v>115</v>
      </c>
      <c r="Q138" s="14" t="s">
        <v>115</v>
      </c>
      <c r="R138" s="16" t="s">
        <v>115</v>
      </c>
      <c r="S138" s="14" t="s">
        <v>115</v>
      </c>
      <c r="T138" s="14" t="s">
        <v>115</v>
      </c>
      <c r="U138" s="14" t="s">
        <v>115</v>
      </c>
      <c r="V138" s="14" t="s">
        <v>115</v>
      </c>
      <c r="W138" s="14" t="s">
        <v>115</v>
      </c>
      <c r="X138" s="14" t="s">
        <v>115</v>
      </c>
      <c r="Y138" s="14" t="s">
        <v>115</v>
      </c>
      <c r="Z138" s="14" t="s">
        <v>115</v>
      </c>
      <c r="AA138" s="14" t="s">
        <v>115</v>
      </c>
      <c r="AB138" s="14" t="s">
        <v>115</v>
      </c>
      <c r="AC138" s="14" t="s">
        <v>115</v>
      </c>
      <c r="AD138" s="14" t="s">
        <v>115</v>
      </c>
      <c r="AE138" s="14" t="s">
        <v>115</v>
      </c>
      <c r="AF138" s="14" t="s">
        <v>115</v>
      </c>
      <c r="AG138" s="14" t="s">
        <v>115</v>
      </c>
      <c r="AH138" s="14" t="s">
        <v>115</v>
      </c>
      <c r="AI138" s="14" t="s">
        <v>115</v>
      </c>
      <c r="AJ138" s="14" t="s">
        <v>115</v>
      </c>
      <c r="AK138" s="14" t="s">
        <v>115</v>
      </c>
      <c r="AL138" s="16" t="s">
        <v>115</v>
      </c>
      <c r="AM138" s="14" t="s">
        <v>115</v>
      </c>
      <c r="AN138" s="16" t="s">
        <v>115</v>
      </c>
      <c r="AO138" s="14" t="s">
        <v>115</v>
      </c>
      <c r="AP138" s="14" t="s">
        <v>115</v>
      </c>
      <c r="AQ138" s="14" t="s">
        <v>115</v>
      </c>
      <c r="AR138" s="14" t="s">
        <v>115</v>
      </c>
      <c r="AS138" s="14" t="s">
        <v>115</v>
      </c>
      <c r="AT138" s="16" t="s">
        <v>115</v>
      </c>
      <c r="AU138" s="14" t="s">
        <v>115</v>
      </c>
      <c r="AV138" s="14" t="s">
        <v>115</v>
      </c>
      <c r="AW138" s="14" t="s">
        <v>115</v>
      </c>
      <c r="AX138" s="16" t="s">
        <v>115</v>
      </c>
      <c r="AY138" s="14" t="s">
        <v>115</v>
      </c>
      <c r="AZ138" s="14" t="s">
        <v>115</v>
      </c>
      <c r="BA138" s="16" t="s">
        <v>115</v>
      </c>
      <c r="BB138" s="14" t="s">
        <v>115</v>
      </c>
      <c r="BC138" s="14" t="s">
        <v>115</v>
      </c>
      <c r="BD138" s="14" t="s">
        <v>115</v>
      </c>
      <c r="BE138" s="14" t="s">
        <v>115</v>
      </c>
      <c r="BF138" s="14" t="s">
        <v>115</v>
      </c>
      <c r="BG138" s="14" t="s">
        <v>115</v>
      </c>
      <c r="BH138" s="14" t="s">
        <v>115</v>
      </c>
      <c r="BI138" s="14" t="s">
        <v>115</v>
      </c>
      <c r="BJ138" s="14" t="s">
        <v>115</v>
      </c>
      <c r="BK138" s="14" t="s">
        <v>115</v>
      </c>
      <c r="BL138" s="14" t="s">
        <v>115</v>
      </c>
      <c r="BM138" s="16" t="s">
        <v>115</v>
      </c>
      <c r="BN138" s="14" t="s">
        <v>115</v>
      </c>
      <c r="BO138" s="8" t="s">
        <v>27</v>
      </c>
    </row>
    <row r="139" spans="1:67" ht="15.75">
      <c r="A139" s="8" t="s">
        <v>227</v>
      </c>
      <c r="B139" s="16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6">
        <v>0</v>
      </c>
      <c r="S139" s="14">
        <v>0</v>
      </c>
      <c r="T139" s="14">
        <v>12</v>
      </c>
      <c r="U139" s="14">
        <v>14051</v>
      </c>
      <c r="V139" s="14" t="s">
        <v>117</v>
      </c>
      <c r="W139" s="14">
        <v>1</v>
      </c>
      <c r="X139" s="14">
        <v>1500</v>
      </c>
      <c r="Y139" s="14">
        <v>0</v>
      </c>
      <c r="Z139" s="14">
        <v>1</v>
      </c>
      <c r="AA139" s="14">
        <v>26800</v>
      </c>
      <c r="AB139" s="14">
        <v>0</v>
      </c>
      <c r="AC139" s="14">
        <v>0</v>
      </c>
      <c r="AD139" s="14">
        <v>0</v>
      </c>
      <c r="AE139" s="14">
        <v>0</v>
      </c>
      <c r="AF139" s="14">
        <v>4</v>
      </c>
      <c r="AG139" s="14">
        <v>10000</v>
      </c>
      <c r="AH139" s="14">
        <v>0</v>
      </c>
      <c r="AI139" s="14">
        <v>0</v>
      </c>
      <c r="AJ139" s="14">
        <v>0</v>
      </c>
      <c r="AK139" s="15">
        <v>0</v>
      </c>
      <c r="AL139" s="16">
        <v>0</v>
      </c>
      <c r="AM139" s="14">
        <v>0</v>
      </c>
      <c r="AN139" s="16">
        <v>0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  <c r="AT139" s="16">
        <v>4</v>
      </c>
      <c r="AU139" s="14">
        <v>1</v>
      </c>
      <c r="AV139" s="14">
        <v>0</v>
      </c>
      <c r="AW139" s="14">
        <v>0</v>
      </c>
      <c r="AX139" s="16">
        <v>11</v>
      </c>
      <c r="AY139" s="14">
        <f>150+85+125+200+210+230+230</f>
        <v>1230</v>
      </c>
      <c r="AZ139" s="15">
        <f>900+1140+5779+8000+17618+12000+1610</f>
        <v>47047</v>
      </c>
      <c r="BA139" s="16">
        <v>1</v>
      </c>
      <c r="BB139" s="14">
        <v>1</v>
      </c>
      <c r="BC139" s="14">
        <v>0</v>
      </c>
      <c r="BD139" s="14">
        <v>6</v>
      </c>
      <c r="BE139" s="14">
        <v>6</v>
      </c>
      <c r="BF139" s="14">
        <v>0</v>
      </c>
      <c r="BG139" s="14">
        <v>6</v>
      </c>
      <c r="BH139" s="14">
        <v>3</v>
      </c>
      <c r="BI139" s="14">
        <v>0</v>
      </c>
      <c r="BJ139" s="14">
        <v>2</v>
      </c>
      <c r="BK139" s="14">
        <v>3</v>
      </c>
      <c r="BL139" s="14">
        <v>0</v>
      </c>
      <c r="BM139" s="17">
        <v>0</v>
      </c>
      <c r="BN139" s="18">
        <v>0</v>
      </c>
      <c r="BO139" s="8" t="s">
        <v>28</v>
      </c>
    </row>
    <row r="140" spans="1:67" ht="15.75">
      <c r="A140" s="8" t="s">
        <v>228</v>
      </c>
      <c r="B140" s="16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6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5">
        <v>0</v>
      </c>
      <c r="AL140" s="16">
        <v>0</v>
      </c>
      <c r="AM140" s="14">
        <v>0</v>
      </c>
      <c r="AN140" s="16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6">
        <v>0</v>
      </c>
      <c r="AU140" s="14">
        <v>0</v>
      </c>
      <c r="AV140" s="14">
        <v>0</v>
      </c>
      <c r="AW140" s="14">
        <v>0</v>
      </c>
      <c r="AX140" s="16">
        <v>4</v>
      </c>
      <c r="AY140" s="14">
        <f>310+1355+310+290</f>
        <v>2265</v>
      </c>
      <c r="AZ140" s="15">
        <v>0</v>
      </c>
      <c r="BA140" s="16">
        <v>0</v>
      </c>
      <c r="BB140" s="14">
        <v>0</v>
      </c>
      <c r="BC140" s="14">
        <v>0</v>
      </c>
      <c r="BD140" s="14">
        <v>0</v>
      </c>
      <c r="BE140" s="14">
        <v>0</v>
      </c>
      <c r="BF140" s="14">
        <v>0</v>
      </c>
      <c r="BG140" s="14">
        <v>0</v>
      </c>
      <c r="BH140" s="14">
        <v>0</v>
      </c>
      <c r="BI140" s="14">
        <v>2</v>
      </c>
      <c r="BJ140" s="14">
        <v>2</v>
      </c>
      <c r="BK140" s="14">
        <v>0</v>
      </c>
      <c r="BL140" s="14">
        <v>0</v>
      </c>
      <c r="BM140" s="17">
        <v>0</v>
      </c>
      <c r="BN140" s="18">
        <v>0</v>
      </c>
      <c r="BO140" s="8" t="s">
        <v>28</v>
      </c>
    </row>
    <row r="141" spans="1:67" ht="15.75">
      <c r="A141" s="8" t="s">
        <v>229</v>
      </c>
      <c r="B141" s="16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6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5">
        <v>0</v>
      </c>
      <c r="AL141" s="16">
        <v>0</v>
      </c>
      <c r="AM141" s="14">
        <v>0</v>
      </c>
      <c r="AN141" s="16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6">
        <v>0</v>
      </c>
      <c r="AU141" s="14">
        <v>0</v>
      </c>
      <c r="AV141" s="14">
        <v>0</v>
      </c>
      <c r="AW141" s="14">
        <v>0</v>
      </c>
      <c r="AX141" s="16">
        <v>2</v>
      </c>
      <c r="AY141" s="14">
        <f>60+30</f>
        <v>90</v>
      </c>
      <c r="AZ141" s="15">
        <f>300+150</f>
        <v>450</v>
      </c>
      <c r="BA141" s="16">
        <v>0</v>
      </c>
      <c r="BB141" s="14">
        <v>0</v>
      </c>
      <c r="BC141" s="14">
        <v>0</v>
      </c>
      <c r="BD141" s="14">
        <v>0</v>
      </c>
      <c r="BE141" s="14">
        <v>0</v>
      </c>
      <c r="BF141" s="14">
        <v>0</v>
      </c>
      <c r="BG141" s="14">
        <v>0</v>
      </c>
      <c r="BH141" s="14">
        <v>0</v>
      </c>
      <c r="BI141" s="14">
        <v>2</v>
      </c>
      <c r="BJ141" s="14">
        <v>2</v>
      </c>
      <c r="BK141" s="14">
        <v>0</v>
      </c>
      <c r="BL141" s="14">
        <v>1</v>
      </c>
      <c r="BM141" s="17">
        <v>0</v>
      </c>
      <c r="BN141" s="18">
        <v>0</v>
      </c>
      <c r="BO141" s="8" t="s">
        <v>28</v>
      </c>
    </row>
    <row r="142" spans="1:67" ht="15.75">
      <c r="A142" s="8" t="s">
        <v>28</v>
      </c>
      <c r="B142" s="16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6">
        <v>2</v>
      </c>
      <c r="S142" s="14">
        <v>7000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5">
        <v>0</v>
      </c>
      <c r="AL142" s="16">
        <v>0</v>
      </c>
      <c r="AM142" s="14">
        <v>0</v>
      </c>
      <c r="AN142" s="16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6">
        <v>0</v>
      </c>
      <c r="AU142" s="14">
        <v>0</v>
      </c>
      <c r="AV142" s="14">
        <v>0</v>
      </c>
      <c r="AW142" s="14">
        <v>0</v>
      </c>
      <c r="AX142" s="16">
        <v>9</v>
      </c>
      <c r="AY142" s="14">
        <f>146+67+100+231+180+100+160+370+250</f>
        <v>1604</v>
      </c>
      <c r="AZ142" s="15">
        <f>1500+600+800+2000+1500+1000+400+500+2000</f>
        <v>10300</v>
      </c>
      <c r="BA142" s="16">
        <v>0</v>
      </c>
      <c r="BB142" s="14">
        <v>0</v>
      </c>
      <c r="BC142" s="14">
        <v>0</v>
      </c>
      <c r="BD142" s="14">
        <v>3</v>
      </c>
      <c r="BE142" s="14">
        <v>3</v>
      </c>
      <c r="BF142" s="14">
        <v>0</v>
      </c>
      <c r="BG142" s="14">
        <v>0</v>
      </c>
      <c r="BH142" s="14">
        <v>0</v>
      </c>
      <c r="BI142" s="14">
        <v>6</v>
      </c>
      <c r="BJ142" s="14">
        <v>1</v>
      </c>
      <c r="BK142" s="14">
        <v>0</v>
      </c>
      <c r="BL142" s="14">
        <v>0</v>
      </c>
      <c r="BM142" s="17">
        <v>0</v>
      </c>
      <c r="BN142" s="18">
        <v>9</v>
      </c>
      <c r="BO142" s="8" t="s">
        <v>28</v>
      </c>
    </row>
    <row r="143" spans="1:67" ht="15.75">
      <c r="A143" s="8" t="s">
        <v>230</v>
      </c>
      <c r="B143" s="16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6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5">
        <v>0</v>
      </c>
      <c r="AL143" s="16">
        <v>0</v>
      </c>
      <c r="AM143" s="14">
        <v>0</v>
      </c>
      <c r="AN143" s="16">
        <v>0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  <c r="AT143" s="16">
        <v>0</v>
      </c>
      <c r="AU143" s="14">
        <v>0</v>
      </c>
      <c r="AV143" s="14">
        <v>0</v>
      </c>
      <c r="AW143" s="14">
        <v>0</v>
      </c>
      <c r="AX143" s="16">
        <v>1</v>
      </c>
      <c r="AY143" s="14">
        <v>220</v>
      </c>
      <c r="AZ143" s="15">
        <v>1500</v>
      </c>
      <c r="BA143" s="16">
        <v>0</v>
      </c>
      <c r="BB143" s="14">
        <v>0</v>
      </c>
      <c r="BC143" s="14">
        <v>0</v>
      </c>
      <c r="BD143" s="14">
        <v>0</v>
      </c>
      <c r="BE143" s="14">
        <v>0</v>
      </c>
      <c r="BF143" s="14">
        <v>0</v>
      </c>
      <c r="BG143" s="14">
        <v>0</v>
      </c>
      <c r="BH143" s="14">
        <v>0</v>
      </c>
      <c r="BI143" s="14">
        <v>1</v>
      </c>
      <c r="BJ143" s="14">
        <v>0</v>
      </c>
      <c r="BK143" s="14">
        <v>0</v>
      </c>
      <c r="BL143" s="14">
        <v>0</v>
      </c>
      <c r="BM143" s="17">
        <v>0</v>
      </c>
      <c r="BN143" s="18">
        <v>0</v>
      </c>
      <c r="BO143" s="8" t="s">
        <v>28</v>
      </c>
    </row>
    <row r="144" spans="1:67" ht="15.75">
      <c r="A144" s="8" t="s">
        <v>29</v>
      </c>
      <c r="B144" s="16">
        <v>0</v>
      </c>
      <c r="C144" s="14">
        <v>0</v>
      </c>
      <c r="D144" s="14">
        <v>2</v>
      </c>
      <c r="E144" s="14">
        <v>1500</v>
      </c>
      <c r="F144" s="14">
        <v>0</v>
      </c>
      <c r="G144" s="14">
        <v>0</v>
      </c>
      <c r="H144" s="14">
        <v>1</v>
      </c>
      <c r="I144" s="14">
        <v>20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6">
        <v>1</v>
      </c>
      <c r="S144" s="14">
        <v>33000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1</v>
      </c>
      <c r="AC144" s="14">
        <v>3200</v>
      </c>
      <c r="AD144" s="14">
        <v>1</v>
      </c>
      <c r="AE144" s="14">
        <v>3000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5">
        <v>0</v>
      </c>
      <c r="AL144" s="16">
        <v>0</v>
      </c>
      <c r="AM144" s="14">
        <v>0</v>
      </c>
      <c r="AN144" s="16">
        <v>0</v>
      </c>
      <c r="AO144" s="14">
        <v>13</v>
      </c>
      <c r="AP144" s="14">
        <v>0</v>
      </c>
      <c r="AQ144" s="14">
        <v>0</v>
      </c>
      <c r="AR144" s="14">
        <v>0</v>
      </c>
      <c r="AS144" s="14">
        <v>0</v>
      </c>
      <c r="AT144" s="16">
        <v>5</v>
      </c>
      <c r="AU144" s="14">
        <v>1</v>
      </c>
      <c r="AV144" s="14">
        <v>0</v>
      </c>
      <c r="AW144" s="14">
        <v>0</v>
      </c>
      <c r="AX144" s="16">
        <v>10</v>
      </c>
      <c r="AY144" s="14">
        <f>450+405+365+400+300+250+330+200+300</f>
        <v>3000</v>
      </c>
      <c r="AZ144" s="15">
        <f>4980+9650+5000+10000+12500+15000</f>
        <v>57130</v>
      </c>
      <c r="BA144" s="16">
        <v>2</v>
      </c>
      <c r="BB144" s="14">
        <v>0</v>
      </c>
      <c r="BC144" s="14">
        <v>4</v>
      </c>
      <c r="BD144" s="14">
        <v>5</v>
      </c>
      <c r="BE144" s="14">
        <v>6</v>
      </c>
      <c r="BF144" s="14">
        <v>4</v>
      </c>
      <c r="BG144" s="14">
        <v>0</v>
      </c>
      <c r="BH144" s="14">
        <v>5</v>
      </c>
      <c r="BI144" s="14">
        <v>6</v>
      </c>
      <c r="BJ144" s="14">
        <v>3</v>
      </c>
      <c r="BK144" s="14">
        <v>3</v>
      </c>
      <c r="BL144" s="14">
        <v>3</v>
      </c>
      <c r="BM144" s="17">
        <v>7</v>
      </c>
      <c r="BN144" s="18">
        <v>0</v>
      </c>
      <c r="BO144" s="8" t="s">
        <v>29</v>
      </c>
    </row>
    <row r="145" spans="1:67" ht="15.75">
      <c r="A145" s="8" t="s">
        <v>231</v>
      </c>
      <c r="B145" s="16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6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5">
        <v>0</v>
      </c>
      <c r="AL145" s="16">
        <v>0</v>
      </c>
      <c r="AM145" s="14">
        <v>0</v>
      </c>
      <c r="AN145" s="16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6">
        <v>0</v>
      </c>
      <c r="AU145" s="14">
        <v>0</v>
      </c>
      <c r="AV145" s="14">
        <v>0</v>
      </c>
      <c r="AW145" s="14">
        <v>0</v>
      </c>
      <c r="AX145" s="16">
        <v>3</v>
      </c>
      <c r="AY145" s="14">
        <f>275+200+150</f>
        <v>625</v>
      </c>
      <c r="AZ145" s="15">
        <f>825+600</f>
        <v>1425</v>
      </c>
      <c r="BA145" s="16">
        <v>0</v>
      </c>
      <c r="BB145" s="14">
        <v>0</v>
      </c>
      <c r="BC145" s="14">
        <v>0</v>
      </c>
      <c r="BD145" s="14">
        <v>0</v>
      </c>
      <c r="BE145" s="14">
        <v>0</v>
      </c>
      <c r="BF145" s="14">
        <v>0</v>
      </c>
      <c r="BG145" s="14">
        <v>0</v>
      </c>
      <c r="BH145" s="14">
        <v>0</v>
      </c>
      <c r="BI145" s="14">
        <v>2</v>
      </c>
      <c r="BJ145" s="14">
        <v>1</v>
      </c>
      <c r="BK145" s="14">
        <v>0</v>
      </c>
      <c r="BL145" s="14">
        <v>0</v>
      </c>
      <c r="BM145" s="17">
        <v>0</v>
      </c>
      <c r="BN145" s="18">
        <v>0</v>
      </c>
      <c r="BO145" s="8" t="s">
        <v>29</v>
      </c>
    </row>
    <row r="146" spans="1:67" ht="15.75">
      <c r="A146" s="8" t="s">
        <v>232</v>
      </c>
      <c r="B146" s="16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6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5">
        <v>0</v>
      </c>
      <c r="AL146" s="16">
        <v>0</v>
      </c>
      <c r="AM146" s="14">
        <v>0</v>
      </c>
      <c r="AN146" s="16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6">
        <v>0</v>
      </c>
      <c r="AU146" s="14">
        <v>0</v>
      </c>
      <c r="AV146" s="14">
        <v>0</v>
      </c>
      <c r="AW146" s="14">
        <v>0</v>
      </c>
      <c r="AX146" s="16">
        <v>1</v>
      </c>
      <c r="AY146" s="14">
        <v>150</v>
      </c>
      <c r="AZ146" s="15">
        <v>0</v>
      </c>
      <c r="BA146" s="16">
        <v>0</v>
      </c>
      <c r="BB146" s="14">
        <v>0</v>
      </c>
      <c r="BC146" s="14">
        <v>0</v>
      </c>
      <c r="BD146" s="14">
        <v>0</v>
      </c>
      <c r="BE146" s="14">
        <v>0</v>
      </c>
      <c r="BF146" s="14">
        <v>0</v>
      </c>
      <c r="BG146" s="14">
        <v>0</v>
      </c>
      <c r="BH146" s="14">
        <v>0</v>
      </c>
      <c r="BI146" s="14">
        <v>0</v>
      </c>
      <c r="BJ146" s="14">
        <v>1</v>
      </c>
      <c r="BK146" s="14">
        <v>0</v>
      </c>
      <c r="BL146" s="14">
        <v>0</v>
      </c>
      <c r="BM146" s="17">
        <v>0</v>
      </c>
      <c r="BN146" s="18">
        <v>0</v>
      </c>
      <c r="BO146" s="8" t="s">
        <v>29</v>
      </c>
    </row>
    <row r="147" spans="1:67" ht="15.75">
      <c r="A147" s="8" t="s">
        <v>233</v>
      </c>
      <c r="B147" s="16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6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5">
        <v>0</v>
      </c>
      <c r="AL147" s="16">
        <v>0</v>
      </c>
      <c r="AM147" s="14">
        <v>0</v>
      </c>
      <c r="AN147" s="16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6">
        <v>1</v>
      </c>
      <c r="AU147" s="14">
        <v>0</v>
      </c>
      <c r="AV147" s="14">
        <v>0</v>
      </c>
      <c r="AW147" s="14">
        <v>0</v>
      </c>
      <c r="AX147" s="16">
        <v>1</v>
      </c>
      <c r="AY147" s="14">
        <v>95</v>
      </c>
      <c r="AZ147" s="15">
        <v>950</v>
      </c>
      <c r="BA147" s="16">
        <v>1</v>
      </c>
      <c r="BB147" s="14">
        <v>0</v>
      </c>
      <c r="BC147" s="14">
        <v>0</v>
      </c>
      <c r="BD147" s="14">
        <v>0</v>
      </c>
      <c r="BE147" s="14">
        <v>0</v>
      </c>
      <c r="BF147" s="14">
        <v>0</v>
      </c>
      <c r="BG147" s="14">
        <v>0</v>
      </c>
      <c r="BH147" s="14">
        <v>0</v>
      </c>
      <c r="BI147" s="14">
        <v>1</v>
      </c>
      <c r="BJ147" s="14">
        <v>0</v>
      </c>
      <c r="BK147" s="14">
        <v>0</v>
      </c>
      <c r="BL147" s="14">
        <v>0</v>
      </c>
      <c r="BM147" s="17">
        <v>0</v>
      </c>
      <c r="BN147" s="18">
        <v>0</v>
      </c>
      <c r="BO147" s="8" t="s">
        <v>29</v>
      </c>
    </row>
    <row r="148" spans="1:67" ht="15.75">
      <c r="A148" s="8" t="s">
        <v>234</v>
      </c>
      <c r="B148" s="16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3</v>
      </c>
      <c r="I148" s="14" t="s">
        <v>115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6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5">
        <v>0</v>
      </c>
      <c r="AL148" s="16">
        <v>0</v>
      </c>
      <c r="AM148" s="14">
        <v>0</v>
      </c>
      <c r="AN148" s="16">
        <v>0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6">
        <v>0</v>
      </c>
      <c r="AU148" s="14">
        <v>0</v>
      </c>
      <c r="AV148" s="14">
        <v>0</v>
      </c>
      <c r="AW148" s="14">
        <v>0</v>
      </c>
      <c r="AX148" s="16">
        <v>3</v>
      </c>
      <c r="AY148" s="14" t="s">
        <v>115</v>
      </c>
      <c r="AZ148" s="15">
        <v>0</v>
      </c>
      <c r="BA148" s="16">
        <v>2</v>
      </c>
      <c r="BB148" s="14">
        <v>0</v>
      </c>
      <c r="BC148" s="14">
        <v>0</v>
      </c>
      <c r="BD148" s="14">
        <v>0</v>
      </c>
      <c r="BE148" s="14">
        <v>0</v>
      </c>
      <c r="BF148" s="14">
        <v>0</v>
      </c>
      <c r="BG148" s="14">
        <v>0</v>
      </c>
      <c r="BH148" s="14">
        <v>0</v>
      </c>
      <c r="BI148" s="14">
        <v>3</v>
      </c>
      <c r="BJ148" s="14">
        <v>3</v>
      </c>
      <c r="BK148" s="14">
        <v>0</v>
      </c>
      <c r="BL148" s="14">
        <v>0</v>
      </c>
      <c r="BM148" s="17">
        <v>0</v>
      </c>
      <c r="BN148" s="18">
        <v>0</v>
      </c>
      <c r="BO148" s="8" t="s">
        <v>29</v>
      </c>
    </row>
    <row r="149" spans="1:67" ht="15.75">
      <c r="A149" s="8" t="s">
        <v>235</v>
      </c>
      <c r="B149" s="16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6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5">
        <v>0</v>
      </c>
      <c r="AL149" s="16">
        <v>0</v>
      </c>
      <c r="AM149" s="14">
        <v>0</v>
      </c>
      <c r="AN149" s="16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6">
        <v>0</v>
      </c>
      <c r="AU149" s="14">
        <v>0</v>
      </c>
      <c r="AV149" s="14">
        <v>0</v>
      </c>
      <c r="AW149" s="14">
        <v>0</v>
      </c>
      <c r="AX149" s="16">
        <v>4</v>
      </c>
      <c r="AY149" s="14">
        <f>170+310+950+550</f>
        <v>1980</v>
      </c>
      <c r="AZ149" s="15">
        <f>1700+1600+1600+3000</f>
        <v>7900</v>
      </c>
      <c r="BA149" s="16">
        <v>2</v>
      </c>
      <c r="BB149" s="14">
        <v>0</v>
      </c>
      <c r="BC149" s="14">
        <v>0</v>
      </c>
      <c r="BD149" s="14">
        <v>0</v>
      </c>
      <c r="BE149" s="14">
        <v>0</v>
      </c>
      <c r="BF149" s="14">
        <v>0</v>
      </c>
      <c r="BG149" s="14">
        <v>0</v>
      </c>
      <c r="BH149" s="14">
        <v>0</v>
      </c>
      <c r="BI149" s="14">
        <v>2</v>
      </c>
      <c r="BJ149" s="14">
        <v>2</v>
      </c>
      <c r="BK149" s="14">
        <v>2</v>
      </c>
      <c r="BL149" s="14">
        <v>0</v>
      </c>
      <c r="BM149" s="17">
        <v>0</v>
      </c>
      <c r="BN149" s="18">
        <v>0</v>
      </c>
      <c r="BO149" s="8" t="s">
        <v>29</v>
      </c>
    </row>
    <row r="150" spans="1:67" ht="15.75">
      <c r="A150" s="8" t="s">
        <v>236</v>
      </c>
      <c r="B150" s="16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8</v>
      </c>
      <c r="I150" s="14">
        <v>60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6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15">
        <v>0</v>
      </c>
      <c r="AL150" s="16">
        <v>0</v>
      </c>
      <c r="AM150" s="14">
        <v>0</v>
      </c>
      <c r="AN150" s="16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6">
        <v>0</v>
      </c>
      <c r="AU150" s="14">
        <v>0</v>
      </c>
      <c r="AV150" s="14">
        <v>0</v>
      </c>
      <c r="AW150" s="14">
        <v>0</v>
      </c>
      <c r="AX150" s="16">
        <v>2</v>
      </c>
      <c r="AY150" s="14">
        <f>60+60</f>
        <v>120</v>
      </c>
      <c r="AZ150" s="15">
        <f>1000+800</f>
        <v>1800</v>
      </c>
      <c r="BA150" s="16">
        <v>2</v>
      </c>
      <c r="BB150" s="14">
        <v>0</v>
      </c>
      <c r="BC150" s="14">
        <v>0</v>
      </c>
      <c r="BD150" s="14">
        <v>0</v>
      </c>
      <c r="BE150" s="14">
        <v>0</v>
      </c>
      <c r="BF150" s="14">
        <v>0</v>
      </c>
      <c r="BG150" s="14">
        <v>2</v>
      </c>
      <c r="BH150" s="14">
        <v>2</v>
      </c>
      <c r="BI150" s="14">
        <v>2</v>
      </c>
      <c r="BJ150" s="14">
        <v>0</v>
      </c>
      <c r="BK150" s="14">
        <v>0</v>
      </c>
      <c r="BL150" s="14">
        <v>2</v>
      </c>
      <c r="BM150" s="17">
        <v>0</v>
      </c>
      <c r="BN150" s="18">
        <v>0</v>
      </c>
      <c r="BO150" s="8" t="s">
        <v>30</v>
      </c>
    </row>
    <row r="151" spans="1:67" ht="15.75">
      <c r="A151" s="8" t="s">
        <v>30</v>
      </c>
      <c r="B151" s="16">
        <v>0</v>
      </c>
      <c r="C151" s="14">
        <v>0</v>
      </c>
      <c r="D151" s="14">
        <v>2</v>
      </c>
      <c r="E151" s="14">
        <v>2200</v>
      </c>
      <c r="F151" s="14">
        <v>0</v>
      </c>
      <c r="G151" s="14">
        <v>0</v>
      </c>
      <c r="H151" s="14">
        <v>3</v>
      </c>
      <c r="I151" s="14">
        <v>60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5</v>
      </c>
      <c r="Q151" s="14">
        <v>90</v>
      </c>
      <c r="R151" s="16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5">
        <v>0</v>
      </c>
      <c r="AL151" s="16">
        <v>0</v>
      </c>
      <c r="AM151" s="14">
        <v>0</v>
      </c>
      <c r="AN151" s="16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6">
        <v>0</v>
      </c>
      <c r="AU151" s="14">
        <v>0</v>
      </c>
      <c r="AV151" s="14">
        <v>0</v>
      </c>
      <c r="AW151" s="14">
        <v>0</v>
      </c>
      <c r="AX151" s="16">
        <v>5</v>
      </c>
      <c r="AY151" s="14">
        <f>293+282+160+380+304</f>
        <v>1419</v>
      </c>
      <c r="AZ151" s="15">
        <f>19924+3948+8670+13600+1520</f>
        <v>47662</v>
      </c>
      <c r="BA151" s="16">
        <v>1</v>
      </c>
      <c r="BB151" s="14">
        <v>0</v>
      </c>
      <c r="BC151" s="14">
        <v>0</v>
      </c>
      <c r="BD151" s="14">
        <v>0</v>
      </c>
      <c r="BE151" s="14">
        <v>0</v>
      </c>
      <c r="BF151" s="14">
        <v>0</v>
      </c>
      <c r="BG151" s="14">
        <v>1</v>
      </c>
      <c r="BH151" s="14">
        <v>1</v>
      </c>
      <c r="BI151" s="14">
        <v>4</v>
      </c>
      <c r="BJ151" s="14">
        <v>1</v>
      </c>
      <c r="BK151" s="14">
        <v>1</v>
      </c>
      <c r="BL151" s="14">
        <v>1</v>
      </c>
      <c r="BM151" s="17">
        <v>0</v>
      </c>
      <c r="BN151" s="18">
        <v>0</v>
      </c>
      <c r="BO151" s="8" t="s">
        <v>30</v>
      </c>
    </row>
    <row r="152" spans="1:67" ht="15.75">
      <c r="A152" s="8" t="s">
        <v>31</v>
      </c>
      <c r="B152" s="16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6">
        <v>3</v>
      </c>
      <c r="S152" s="14">
        <v>29000</v>
      </c>
      <c r="T152" s="14">
        <v>0</v>
      </c>
      <c r="U152" s="14">
        <v>0</v>
      </c>
      <c r="V152" s="14" t="s">
        <v>117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1</v>
      </c>
      <c r="AC152" s="14">
        <v>1500</v>
      </c>
      <c r="AD152" s="14">
        <v>0</v>
      </c>
      <c r="AE152" s="14">
        <v>0</v>
      </c>
      <c r="AF152" s="14">
        <v>7</v>
      </c>
      <c r="AG152" s="14">
        <v>10900</v>
      </c>
      <c r="AH152" s="14">
        <v>0</v>
      </c>
      <c r="AI152" s="14">
        <v>0</v>
      </c>
      <c r="AJ152" s="14">
        <v>3</v>
      </c>
      <c r="AK152" s="15">
        <v>43750</v>
      </c>
      <c r="AL152" s="16">
        <v>0</v>
      </c>
      <c r="AM152" s="14">
        <v>0</v>
      </c>
      <c r="AN152" s="16">
        <v>0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6">
        <v>15</v>
      </c>
      <c r="AU152" s="14">
        <v>1</v>
      </c>
      <c r="AV152" s="14">
        <v>0</v>
      </c>
      <c r="AW152" s="14">
        <v>0</v>
      </c>
      <c r="AX152" s="16">
        <v>8</v>
      </c>
      <c r="AY152" s="14">
        <f>457+130+474+200+60+236+260+120</f>
        <v>1937</v>
      </c>
      <c r="AZ152" s="15">
        <f>15000+1950+11850+5000+720+7000+7000+1000</f>
        <v>49520</v>
      </c>
      <c r="BA152" s="16">
        <v>0</v>
      </c>
      <c r="BB152" s="14">
        <v>1</v>
      </c>
      <c r="BC152" s="14">
        <v>3</v>
      </c>
      <c r="BD152" s="14">
        <v>4</v>
      </c>
      <c r="BE152" s="14">
        <v>4</v>
      </c>
      <c r="BF152" s="14">
        <v>2</v>
      </c>
      <c r="BG152" s="14">
        <v>3</v>
      </c>
      <c r="BH152" s="14">
        <v>4</v>
      </c>
      <c r="BI152" s="14">
        <v>3</v>
      </c>
      <c r="BJ152" s="14">
        <v>1</v>
      </c>
      <c r="BK152" s="14">
        <v>1</v>
      </c>
      <c r="BL152" s="14">
        <v>2</v>
      </c>
      <c r="BM152" s="17">
        <v>2</v>
      </c>
      <c r="BN152" s="18">
        <v>0</v>
      </c>
      <c r="BO152" s="8" t="s">
        <v>31</v>
      </c>
    </row>
    <row r="153" spans="1:67" ht="15.75">
      <c r="A153" s="8" t="s">
        <v>237</v>
      </c>
      <c r="B153" s="16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6">
        <v>4</v>
      </c>
      <c r="S153" s="14">
        <v>36000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5">
        <v>0</v>
      </c>
      <c r="AL153" s="16">
        <v>0</v>
      </c>
      <c r="AM153" s="14">
        <v>0</v>
      </c>
      <c r="AN153" s="16">
        <v>0</v>
      </c>
      <c r="AO153" s="14">
        <v>0</v>
      </c>
      <c r="AP153" s="14">
        <v>0</v>
      </c>
      <c r="AQ153" s="14">
        <v>0</v>
      </c>
      <c r="AR153" s="14">
        <v>1</v>
      </c>
      <c r="AS153" s="14">
        <v>0</v>
      </c>
      <c r="AT153" s="16">
        <v>3</v>
      </c>
      <c r="AU153" s="14">
        <v>0</v>
      </c>
      <c r="AV153" s="14">
        <v>0</v>
      </c>
      <c r="AW153" s="14">
        <v>0</v>
      </c>
      <c r="AX153" s="16">
        <v>6</v>
      </c>
      <c r="AY153" s="14">
        <f>110+310+350+210+110+135</f>
        <v>1225</v>
      </c>
      <c r="AZ153" s="15">
        <f>2450+11250+38800+6300+990+1215</f>
        <v>61005</v>
      </c>
      <c r="BA153" s="16">
        <v>2</v>
      </c>
      <c r="BB153" s="14">
        <v>1</v>
      </c>
      <c r="BC153" s="14">
        <v>1</v>
      </c>
      <c r="BD153" s="14">
        <v>2</v>
      </c>
      <c r="BE153" s="14">
        <v>2</v>
      </c>
      <c r="BF153" s="14">
        <v>2</v>
      </c>
      <c r="BG153" s="14">
        <v>2</v>
      </c>
      <c r="BH153" s="14">
        <v>2</v>
      </c>
      <c r="BI153" s="14">
        <v>2</v>
      </c>
      <c r="BJ153" s="14">
        <v>2</v>
      </c>
      <c r="BK153" s="14">
        <v>4</v>
      </c>
      <c r="BL153" s="14">
        <v>0</v>
      </c>
      <c r="BM153" s="17">
        <v>0</v>
      </c>
      <c r="BN153" s="18">
        <v>6</v>
      </c>
      <c r="BO153" s="8" t="s">
        <v>31</v>
      </c>
    </row>
    <row r="154" spans="1:67" ht="15.75">
      <c r="A154" s="8" t="s">
        <v>238</v>
      </c>
      <c r="B154" s="16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6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5">
        <v>0</v>
      </c>
      <c r="AL154" s="16">
        <v>0</v>
      </c>
      <c r="AM154" s="14">
        <v>0</v>
      </c>
      <c r="AN154" s="16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6">
        <v>0</v>
      </c>
      <c r="AU154" s="14">
        <v>0</v>
      </c>
      <c r="AV154" s="14">
        <v>0</v>
      </c>
      <c r="AW154" s="14">
        <v>0</v>
      </c>
      <c r="AX154" s="16">
        <v>3</v>
      </c>
      <c r="AY154" s="14">
        <f>553+286+130</f>
        <v>969</v>
      </c>
      <c r="AZ154" s="15">
        <f>2000+3000</f>
        <v>5000</v>
      </c>
      <c r="BA154" s="16">
        <v>0</v>
      </c>
      <c r="BB154" s="14">
        <v>0</v>
      </c>
      <c r="BC154" s="14">
        <v>0</v>
      </c>
      <c r="BD154" s="14">
        <v>0</v>
      </c>
      <c r="BE154" s="14">
        <v>0</v>
      </c>
      <c r="BF154" s="14">
        <v>0</v>
      </c>
      <c r="BG154" s="14">
        <v>0</v>
      </c>
      <c r="BH154" s="14">
        <v>0</v>
      </c>
      <c r="BI154" s="14">
        <v>2</v>
      </c>
      <c r="BJ154" s="14">
        <v>1</v>
      </c>
      <c r="BK154" s="14">
        <v>0</v>
      </c>
      <c r="BL154" s="14">
        <v>0</v>
      </c>
      <c r="BM154" s="17">
        <v>0</v>
      </c>
      <c r="BN154" s="18">
        <v>2</v>
      </c>
      <c r="BO154" s="8" t="s">
        <v>32</v>
      </c>
    </row>
    <row r="155" spans="1:67" ht="15.75">
      <c r="A155" s="8" t="s">
        <v>32</v>
      </c>
      <c r="B155" s="16">
        <v>1</v>
      </c>
      <c r="C155" s="14">
        <v>400</v>
      </c>
      <c r="D155" s="14">
        <v>0</v>
      </c>
      <c r="E155" s="14">
        <v>0</v>
      </c>
      <c r="F155" s="14">
        <v>0</v>
      </c>
      <c r="G155" s="14">
        <v>0</v>
      </c>
      <c r="H155" s="14">
        <v>2</v>
      </c>
      <c r="I155" s="14">
        <v>100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6">
        <v>2</v>
      </c>
      <c r="S155" s="14">
        <v>8968</v>
      </c>
      <c r="T155" s="14">
        <v>0</v>
      </c>
      <c r="U155" s="14">
        <v>0</v>
      </c>
      <c r="V155" s="14" t="s">
        <v>117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15">
        <v>0</v>
      </c>
      <c r="AL155" s="16">
        <v>0</v>
      </c>
      <c r="AM155" s="14">
        <v>0</v>
      </c>
      <c r="AN155" s="16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6">
        <v>3</v>
      </c>
      <c r="AU155" s="14">
        <v>0</v>
      </c>
      <c r="AV155" s="14">
        <v>0</v>
      </c>
      <c r="AW155" s="14">
        <v>0</v>
      </c>
      <c r="AX155" s="16">
        <v>5</v>
      </c>
      <c r="AY155" s="14">
        <f>180+154+334+400</f>
        <v>1068</v>
      </c>
      <c r="AZ155" s="15">
        <f>5580+3388+13300+4800</f>
        <v>27068</v>
      </c>
      <c r="BA155" s="16">
        <v>3</v>
      </c>
      <c r="BB155" s="14">
        <v>2</v>
      </c>
      <c r="BC155" s="14">
        <v>3</v>
      </c>
      <c r="BD155" s="14">
        <v>1</v>
      </c>
      <c r="BE155" s="14">
        <v>2</v>
      </c>
      <c r="BF155" s="14">
        <v>0</v>
      </c>
      <c r="BG155" s="14">
        <v>3</v>
      </c>
      <c r="BH155" s="14">
        <v>3</v>
      </c>
      <c r="BI155" s="14">
        <v>1</v>
      </c>
      <c r="BJ155" s="14">
        <v>1</v>
      </c>
      <c r="BK155" s="14">
        <v>4</v>
      </c>
      <c r="BL155" s="14">
        <v>2</v>
      </c>
      <c r="BM155" s="17">
        <v>0</v>
      </c>
      <c r="BN155" s="18">
        <v>4</v>
      </c>
      <c r="BO155" s="8" t="s">
        <v>32</v>
      </c>
    </row>
    <row r="156" spans="1:67" ht="15.75">
      <c r="A156" s="8" t="s">
        <v>239</v>
      </c>
      <c r="B156" s="16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6">
        <v>0</v>
      </c>
      <c r="S156" s="14">
        <v>0</v>
      </c>
      <c r="T156" s="14">
        <v>2</v>
      </c>
      <c r="U156" s="14">
        <v>10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5">
        <v>0</v>
      </c>
      <c r="AL156" s="16">
        <v>0</v>
      </c>
      <c r="AM156" s="14">
        <v>0</v>
      </c>
      <c r="AN156" s="16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6">
        <v>1</v>
      </c>
      <c r="AU156" s="14">
        <v>0</v>
      </c>
      <c r="AV156" s="14">
        <v>0</v>
      </c>
      <c r="AW156" s="14">
        <v>1</v>
      </c>
      <c r="AX156" s="16">
        <v>5</v>
      </c>
      <c r="AY156" s="14">
        <f>60+70+122+122+250</f>
        <v>624</v>
      </c>
      <c r="AZ156" s="15">
        <f>360+210+549+183+500</f>
        <v>1802</v>
      </c>
      <c r="BA156" s="16">
        <v>0</v>
      </c>
      <c r="BB156" s="14">
        <v>0</v>
      </c>
      <c r="BC156" s="14">
        <v>0</v>
      </c>
      <c r="BD156" s="14">
        <v>0</v>
      </c>
      <c r="BE156" s="14">
        <v>0</v>
      </c>
      <c r="BF156" s="14">
        <v>0</v>
      </c>
      <c r="BG156" s="14">
        <v>0</v>
      </c>
      <c r="BH156" s="14">
        <v>0</v>
      </c>
      <c r="BI156" s="14">
        <v>1</v>
      </c>
      <c r="BJ156" s="14">
        <v>4</v>
      </c>
      <c r="BK156" s="14">
        <v>1</v>
      </c>
      <c r="BL156" s="14">
        <v>0</v>
      </c>
      <c r="BM156" s="17">
        <v>0</v>
      </c>
      <c r="BN156" s="18">
        <v>5</v>
      </c>
      <c r="BO156" s="8" t="s">
        <v>32</v>
      </c>
    </row>
    <row r="157" spans="1:67" ht="15.75">
      <c r="A157" s="8" t="s">
        <v>240</v>
      </c>
      <c r="B157" s="16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6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5">
        <v>0</v>
      </c>
      <c r="AL157" s="16">
        <v>0</v>
      </c>
      <c r="AM157" s="14">
        <v>0</v>
      </c>
      <c r="AN157" s="16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6">
        <v>0</v>
      </c>
      <c r="AU157" s="14">
        <v>0</v>
      </c>
      <c r="AV157" s="14">
        <v>0</v>
      </c>
      <c r="AW157" s="14">
        <v>0</v>
      </c>
      <c r="AX157" s="16">
        <v>1</v>
      </c>
      <c r="AY157" s="14">
        <v>276</v>
      </c>
      <c r="AZ157" s="15">
        <v>9000</v>
      </c>
      <c r="BA157" s="16">
        <v>0</v>
      </c>
      <c r="BB157" s="14">
        <v>0</v>
      </c>
      <c r="BC157" s="14">
        <v>0</v>
      </c>
      <c r="BD157" s="14">
        <v>0</v>
      </c>
      <c r="BE157" s="14">
        <v>0</v>
      </c>
      <c r="BF157" s="14">
        <v>0</v>
      </c>
      <c r="BG157" s="14">
        <v>0</v>
      </c>
      <c r="BH157" s="14">
        <v>0</v>
      </c>
      <c r="BI157" s="14">
        <v>1</v>
      </c>
      <c r="BJ157" s="14">
        <v>1</v>
      </c>
      <c r="BK157" s="14">
        <v>1</v>
      </c>
      <c r="BL157" s="14">
        <v>0</v>
      </c>
      <c r="BM157" s="17">
        <v>0</v>
      </c>
      <c r="BN157" s="18">
        <v>0</v>
      </c>
      <c r="BO157" s="8" t="s">
        <v>33</v>
      </c>
    </row>
    <row r="158" spans="1:67" ht="15.75">
      <c r="A158" s="8" t="s">
        <v>33</v>
      </c>
      <c r="B158" s="16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6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5">
        <v>0</v>
      </c>
      <c r="AL158" s="16">
        <v>0</v>
      </c>
      <c r="AM158" s="14">
        <v>0</v>
      </c>
      <c r="AN158" s="16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  <c r="AT158" s="16">
        <v>0</v>
      </c>
      <c r="AU158" s="14">
        <v>0</v>
      </c>
      <c r="AV158" s="14">
        <v>0</v>
      </c>
      <c r="AW158" s="14">
        <v>0</v>
      </c>
      <c r="AX158" s="16">
        <v>18</v>
      </c>
      <c r="AY158" s="14">
        <f>200+270+110+240+110+240+200+65+90+110+36+135+146+100+220+70+100+80</f>
        <v>2522</v>
      </c>
      <c r="AZ158" s="15">
        <f>4400+5940+2420+3600+660+960+2400+130+180+220+72+270+584+1200+2640+350+200+160</f>
        <v>26386</v>
      </c>
      <c r="BA158" s="16">
        <v>0</v>
      </c>
      <c r="BB158" s="14">
        <v>0</v>
      </c>
      <c r="BC158" s="14">
        <v>0</v>
      </c>
      <c r="BD158" s="14">
        <v>1</v>
      </c>
      <c r="BE158" s="14">
        <v>1</v>
      </c>
      <c r="BF158" s="14">
        <v>0</v>
      </c>
      <c r="BG158" s="14">
        <v>0</v>
      </c>
      <c r="BH158" s="14">
        <v>0</v>
      </c>
      <c r="BI158" s="14">
        <v>6</v>
      </c>
      <c r="BJ158" s="14">
        <v>13</v>
      </c>
      <c r="BK158" s="14">
        <v>1</v>
      </c>
      <c r="BL158" s="14">
        <v>0</v>
      </c>
      <c r="BM158" s="17">
        <v>0</v>
      </c>
      <c r="BN158" s="18">
        <v>0</v>
      </c>
      <c r="BO158" s="8" t="s">
        <v>33</v>
      </c>
    </row>
    <row r="159" spans="1:67" ht="15.75">
      <c r="A159" s="8" t="s">
        <v>34</v>
      </c>
      <c r="B159" s="16">
        <v>2</v>
      </c>
      <c r="C159" s="14">
        <v>1100</v>
      </c>
      <c r="D159" s="14">
        <v>7</v>
      </c>
      <c r="E159" s="14">
        <v>43850</v>
      </c>
      <c r="F159" s="14">
        <v>0</v>
      </c>
      <c r="G159" s="14">
        <v>0</v>
      </c>
      <c r="H159" s="14">
        <v>1</v>
      </c>
      <c r="I159" s="14">
        <v>2400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6">
        <v>12</v>
      </c>
      <c r="S159" s="14">
        <v>124742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52</v>
      </c>
      <c r="AA159" s="14">
        <v>74000</v>
      </c>
      <c r="AB159" s="14">
        <v>0</v>
      </c>
      <c r="AC159" s="14">
        <v>0</v>
      </c>
      <c r="AD159" s="14">
        <v>0</v>
      </c>
      <c r="AE159" s="14">
        <v>0</v>
      </c>
      <c r="AF159" s="14">
        <v>6</v>
      </c>
      <c r="AG159" s="14">
        <v>7500</v>
      </c>
      <c r="AH159" s="14">
        <v>0</v>
      </c>
      <c r="AI159" s="14">
        <v>0</v>
      </c>
      <c r="AJ159" s="14">
        <v>38</v>
      </c>
      <c r="AK159" s="15">
        <v>40300</v>
      </c>
      <c r="AL159" s="16">
        <v>0</v>
      </c>
      <c r="AM159" s="14">
        <v>0</v>
      </c>
      <c r="AN159" s="16">
        <v>2</v>
      </c>
      <c r="AO159" s="14">
        <v>0</v>
      </c>
      <c r="AP159" s="14">
        <v>0</v>
      </c>
      <c r="AQ159" s="14">
        <v>17</v>
      </c>
      <c r="AR159" s="14">
        <v>13</v>
      </c>
      <c r="AS159" s="14">
        <v>0</v>
      </c>
      <c r="AT159" s="16">
        <v>9</v>
      </c>
      <c r="AU159" s="14">
        <v>10</v>
      </c>
      <c r="AV159" s="14">
        <v>8</v>
      </c>
      <c r="AW159" s="14">
        <v>0</v>
      </c>
      <c r="AX159" s="16">
        <v>25</v>
      </c>
      <c r="AY159" s="14">
        <f>240+190+120+200+100+100+170+130+115+127+130+80+160+200+200+120+200+110+80+170+170+200+265+150+260</f>
        <v>3987</v>
      </c>
      <c r="AZ159" s="15">
        <f>11812+9440+4700+9440+3000+15300+2200+1200+2600+9250+10500+2800+7000+8000+8000+3500+12000+40000+7000+11200</f>
        <v>178942</v>
      </c>
      <c r="BA159" s="16">
        <v>10</v>
      </c>
      <c r="BB159" s="14">
        <v>0</v>
      </c>
      <c r="BC159" s="14">
        <v>0</v>
      </c>
      <c r="BD159" s="14">
        <v>9</v>
      </c>
      <c r="BE159" s="14">
        <v>7</v>
      </c>
      <c r="BF159" s="14">
        <v>2</v>
      </c>
      <c r="BG159" s="14">
        <v>5</v>
      </c>
      <c r="BH159" s="14">
        <v>3</v>
      </c>
      <c r="BI159" s="14">
        <v>1</v>
      </c>
      <c r="BJ159" s="14">
        <v>0</v>
      </c>
      <c r="BK159" s="14">
        <v>4</v>
      </c>
      <c r="BL159" s="14">
        <v>5</v>
      </c>
      <c r="BM159" s="17">
        <v>8</v>
      </c>
      <c r="BN159" s="18">
        <v>0</v>
      </c>
      <c r="BO159" s="8" t="s">
        <v>34</v>
      </c>
    </row>
    <row r="160" spans="1:67" ht="15.75">
      <c r="A160" s="8" t="s">
        <v>241</v>
      </c>
      <c r="B160" s="16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6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5">
        <v>0</v>
      </c>
      <c r="AL160" s="16">
        <v>0</v>
      </c>
      <c r="AM160" s="14">
        <v>0</v>
      </c>
      <c r="AN160" s="16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6">
        <v>0</v>
      </c>
      <c r="AU160" s="14">
        <v>0</v>
      </c>
      <c r="AV160" s="14">
        <v>0</v>
      </c>
      <c r="AW160" s="14">
        <v>0</v>
      </c>
      <c r="AX160" s="16">
        <v>7</v>
      </c>
      <c r="AY160" s="14">
        <f>245+240+110+94+167+83+20</f>
        <v>959</v>
      </c>
      <c r="AZ160" s="15">
        <f>1225+2400+1210+1000+334+630+200</f>
        <v>6999</v>
      </c>
      <c r="BA160" s="16">
        <v>0</v>
      </c>
      <c r="BB160" s="14">
        <v>0</v>
      </c>
      <c r="BC160" s="14">
        <v>0</v>
      </c>
      <c r="BD160" s="14">
        <v>0</v>
      </c>
      <c r="BE160" s="14">
        <v>0</v>
      </c>
      <c r="BF160" s="14">
        <v>0</v>
      </c>
      <c r="BG160" s="14">
        <v>0</v>
      </c>
      <c r="BH160" s="14">
        <v>1</v>
      </c>
      <c r="BI160" s="14">
        <v>1</v>
      </c>
      <c r="BJ160" s="14">
        <v>1</v>
      </c>
      <c r="BK160" s="14">
        <v>1</v>
      </c>
      <c r="BL160" s="14">
        <v>0</v>
      </c>
      <c r="BM160" s="17">
        <v>0</v>
      </c>
      <c r="BN160" s="18">
        <v>0</v>
      </c>
      <c r="BO160" s="8" t="s">
        <v>34</v>
      </c>
    </row>
    <row r="161" spans="1:67" ht="15.75">
      <c r="A161" s="8" t="s">
        <v>242</v>
      </c>
      <c r="B161" s="16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6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5">
        <v>0</v>
      </c>
      <c r="AL161" s="16">
        <v>0</v>
      </c>
      <c r="AM161" s="14">
        <v>0</v>
      </c>
      <c r="AN161" s="16">
        <v>0</v>
      </c>
      <c r="AO161" s="14">
        <v>0</v>
      </c>
      <c r="AP161" s="14">
        <v>0</v>
      </c>
      <c r="AQ161" s="14">
        <v>0</v>
      </c>
      <c r="AR161" s="14">
        <v>0</v>
      </c>
      <c r="AS161" s="14">
        <v>0</v>
      </c>
      <c r="AT161" s="16">
        <v>0</v>
      </c>
      <c r="AU161" s="14">
        <v>0</v>
      </c>
      <c r="AV161" s="14">
        <v>0</v>
      </c>
      <c r="AW161" s="14">
        <v>0</v>
      </c>
      <c r="AX161" s="16">
        <v>1</v>
      </c>
      <c r="AY161" s="14" t="s">
        <v>115</v>
      </c>
      <c r="AZ161" s="15">
        <v>0</v>
      </c>
      <c r="BA161" s="16">
        <v>0</v>
      </c>
      <c r="BB161" s="14">
        <v>0</v>
      </c>
      <c r="BC161" s="14">
        <v>0</v>
      </c>
      <c r="BD161" s="14">
        <v>0</v>
      </c>
      <c r="BE161" s="14">
        <v>0</v>
      </c>
      <c r="BF161" s="14">
        <v>0</v>
      </c>
      <c r="BG161" s="14">
        <v>0</v>
      </c>
      <c r="BH161" s="14">
        <v>0</v>
      </c>
      <c r="BI161" s="14">
        <v>0</v>
      </c>
      <c r="BJ161" s="14">
        <v>1</v>
      </c>
      <c r="BK161" s="14">
        <v>0</v>
      </c>
      <c r="BL161" s="14">
        <v>0</v>
      </c>
      <c r="BM161" s="17">
        <v>0</v>
      </c>
      <c r="BN161" s="18">
        <v>0</v>
      </c>
      <c r="BO161" s="8" t="s">
        <v>34</v>
      </c>
    </row>
    <row r="162" spans="1:67" ht="15.75">
      <c r="A162" s="8" t="s">
        <v>243</v>
      </c>
      <c r="B162" s="16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6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5">
        <v>0</v>
      </c>
      <c r="AL162" s="16">
        <v>0</v>
      </c>
      <c r="AM162" s="14">
        <v>0</v>
      </c>
      <c r="AN162" s="16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0</v>
      </c>
      <c r="AT162" s="16">
        <v>0</v>
      </c>
      <c r="AU162" s="14">
        <v>0</v>
      </c>
      <c r="AV162" s="14">
        <v>0</v>
      </c>
      <c r="AW162" s="14">
        <v>0</v>
      </c>
      <c r="AX162" s="16">
        <v>0</v>
      </c>
      <c r="AY162" s="14">
        <v>0</v>
      </c>
      <c r="AZ162" s="15">
        <v>0</v>
      </c>
      <c r="BA162" s="16">
        <v>0</v>
      </c>
      <c r="BB162" s="14">
        <v>0</v>
      </c>
      <c r="BC162" s="14">
        <v>0</v>
      </c>
      <c r="BD162" s="14">
        <v>0</v>
      </c>
      <c r="BE162" s="14">
        <v>0</v>
      </c>
      <c r="BF162" s="14">
        <v>0</v>
      </c>
      <c r="BG162" s="14">
        <v>0</v>
      </c>
      <c r="BH162" s="14">
        <v>0</v>
      </c>
      <c r="BI162" s="14">
        <v>0</v>
      </c>
      <c r="BJ162" s="14">
        <v>0</v>
      </c>
      <c r="BK162" s="14">
        <v>0</v>
      </c>
      <c r="BL162" s="14">
        <v>0</v>
      </c>
      <c r="BM162" s="17">
        <v>0</v>
      </c>
      <c r="BN162" s="18">
        <v>0</v>
      </c>
      <c r="BO162" s="8" t="s">
        <v>34</v>
      </c>
    </row>
    <row r="163" spans="1:67" ht="15.75">
      <c r="A163" s="8" t="s">
        <v>244</v>
      </c>
      <c r="B163" s="16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6">
        <v>0</v>
      </c>
      <c r="S163" s="14">
        <v>0</v>
      </c>
      <c r="T163" s="14">
        <v>2</v>
      </c>
      <c r="U163" s="14">
        <f>11900+3000</f>
        <v>14900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5">
        <v>0</v>
      </c>
      <c r="AL163" s="16">
        <v>3</v>
      </c>
      <c r="AM163" s="14">
        <v>6</v>
      </c>
      <c r="AN163" s="16">
        <v>0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6">
        <v>3</v>
      </c>
      <c r="AU163" s="14">
        <v>0</v>
      </c>
      <c r="AV163" s="14">
        <v>0</v>
      </c>
      <c r="AW163" s="14">
        <v>0</v>
      </c>
      <c r="AX163" s="16">
        <v>13</v>
      </c>
      <c r="AY163" s="14">
        <f>60+80+25+90+70+180+120+190+100+100+290+310+100</f>
        <v>1715</v>
      </c>
      <c r="AZ163" s="15">
        <v>0</v>
      </c>
      <c r="BA163" s="16">
        <v>0</v>
      </c>
      <c r="BB163" s="14">
        <v>0</v>
      </c>
      <c r="BC163" s="14">
        <v>0</v>
      </c>
      <c r="BD163" s="14">
        <v>0</v>
      </c>
      <c r="BE163" s="14">
        <v>0</v>
      </c>
      <c r="BF163" s="14">
        <v>0</v>
      </c>
      <c r="BG163" s="14">
        <v>0</v>
      </c>
      <c r="BH163" s="14">
        <v>0</v>
      </c>
      <c r="BI163" s="14">
        <v>6</v>
      </c>
      <c r="BJ163" s="14">
        <v>7</v>
      </c>
      <c r="BK163" s="14">
        <v>0</v>
      </c>
      <c r="BL163" s="14">
        <v>0</v>
      </c>
      <c r="BM163" s="17">
        <v>0</v>
      </c>
      <c r="BN163" s="18">
        <v>0</v>
      </c>
      <c r="BO163" s="8" t="s">
        <v>34</v>
      </c>
    </row>
    <row r="164" spans="1:67" ht="15.75">
      <c r="A164" s="8" t="s">
        <v>245</v>
      </c>
      <c r="B164" s="16">
        <v>0</v>
      </c>
      <c r="C164" s="14">
        <v>0</v>
      </c>
      <c r="D164" s="14">
        <v>1</v>
      </c>
      <c r="E164" s="14" t="s">
        <v>115</v>
      </c>
      <c r="F164" s="14">
        <v>1</v>
      </c>
      <c r="G164" s="14">
        <v>30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6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5">
        <v>0</v>
      </c>
      <c r="AL164" s="16">
        <v>0</v>
      </c>
      <c r="AM164" s="14">
        <v>0</v>
      </c>
      <c r="AN164" s="16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  <c r="AT164" s="16">
        <v>1</v>
      </c>
      <c r="AU164" s="14">
        <v>0</v>
      </c>
      <c r="AV164" s="14">
        <v>0</v>
      </c>
      <c r="AW164" s="14">
        <v>0</v>
      </c>
      <c r="AX164" s="16">
        <v>12</v>
      </c>
      <c r="AY164" s="14">
        <f>25+28+32+24+20+12+36+25+30</f>
        <v>232</v>
      </c>
      <c r="AZ164" s="15">
        <v>0</v>
      </c>
      <c r="BA164" s="16">
        <v>0</v>
      </c>
      <c r="BB164" s="14">
        <v>0</v>
      </c>
      <c r="BC164" s="14">
        <v>0</v>
      </c>
      <c r="BD164" s="14">
        <v>0</v>
      </c>
      <c r="BE164" s="14">
        <v>0</v>
      </c>
      <c r="BF164" s="14">
        <v>0</v>
      </c>
      <c r="BG164" s="14">
        <v>0</v>
      </c>
      <c r="BH164" s="14">
        <v>0</v>
      </c>
      <c r="BI164" s="14">
        <v>0</v>
      </c>
      <c r="BJ164" s="14">
        <v>12</v>
      </c>
      <c r="BK164" s="14">
        <v>0</v>
      </c>
      <c r="BL164" s="14">
        <v>0</v>
      </c>
      <c r="BM164" s="17">
        <v>0</v>
      </c>
      <c r="BN164" s="18">
        <v>0</v>
      </c>
      <c r="BO164" s="8" t="s">
        <v>35</v>
      </c>
    </row>
    <row r="165" spans="1:67" ht="15.75">
      <c r="A165" s="8" t="s">
        <v>246</v>
      </c>
      <c r="B165" s="16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6">
        <v>0</v>
      </c>
      <c r="S165" s="14">
        <v>0</v>
      </c>
      <c r="T165" s="14">
        <v>10</v>
      </c>
      <c r="U165" s="14">
        <v>908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5">
        <v>0</v>
      </c>
      <c r="AL165" s="16">
        <v>0</v>
      </c>
      <c r="AM165" s="14">
        <v>0</v>
      </c>
      <c r="AN165" s="16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6">
        <v>0</v>
      </c>
      <c r="AU165" s="14">
        <v>0</v>
      </c>
      <c r="AV165" s="14">
        <v>0</v>
      </c>
      <c r="AW165" s="14">
        <v>0</v>
      </c>
      <c r="AX165" s="16">
        <v>14</v>
      </c>
      <c r="AY165" s="14">
        <f>30+42+33+126+32+54+20+230+206+60+47+25+300+165</f>
        <v>1370</v>
      </c>
      <c r="AZ165" s="15">
        <f>450+600+297+1008+160+270+140+1150+1030+300+940+125+6000+2475</f>
        <v>14945</v>
      </c>
      <c r="BA165" s="16">
        <v>1</v>
      </c>
      <c r="BB165" s="14">
        <v>1</v>
      </c>
      <c r="BC165" s="14">
        <v>0</v>
      </c>
      <c r="BD165" s="14">
        <v>0</v>
      </c>
      <c r="BE165" s="14">
        <v>0</v>
      </c>
      <c r="BF165" s="14">
        <v>0</v>
      </c>
      <c r="BG165" s="14">
        <v>0</v>
      </c>
      <c r="BH165" s="14">
        <v>0</v>
      </c>
      <c r="BI165" s="14">
        <v>10</v>
      </c>
      <c r="BJ165" s="14">
        <v>5</v>
      </c>
      <c r="BK165" s="14">
        <v>0</v>
      </c>
      <c r="BL165" s="14">
        <v>1</v>
      </c>
      <c r="BM165" s="17">
        <v>0</v>
      </c>
      <c r="BN165" s="18">
        <v>0</v>
      </c>
      <c r="BO165" s="8" t="s">
        <v>35</v>
      </c>
    </row>
    <row r="166" spans="1:67" ht="15.75">
      <c r="A166" s="8" t="s">
        <v>35</v>
      </c>
      <c r="B166" s="16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6">
        <v>1</v>
      </c>
      <c r="S166" s="14">
        <v>3140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5">
        <v>0</v>
      </c>
      <c r="AL166" s="16">
        <v>0</v>
      </c>
      <c r="AM166" s="14">
        <v>0</v>
      </c>
      <c r="AN166" s="16">
        <v>0</v>
      </c>
      <c r="AO166" s="14">
        <v>0</v>
      </c>
      <c r="AP166" s="14">
        <v>0</v>
      </c>
      <c r="AQ166" s="14">
        <v>0</v>
      </c>
      <c r="AR166" s="14">
        <v>0</v>
      </c>
      <c r="AS166" s="14">
        <v>0</v>
      </c>
      <c r="AT166" s="16">
        <v>0</v>
      </c>
      <c r="AU166" s="14">
        <v>0</v>
      </c>
      <c r="AV166" s="14">
        <v>0</v>
      </c>
      <c r="AW166" s="14">
        <v>0</v>
      </c>
      <c r="AX166" s="16">
        <v>5</v>
      </c>
      <c r="AY166" s="14">
        <f>215+26+178+311+1090</f>
        <v>1820</v>
      </c>
      <c r="AZ166" s="15">
        <f>3140+130+890+1550+10900</f>
        <v>16610</v>
      </c>
      <c r="BA166" s="16">
        <v>1</v>
      </c>
      <c r="BB166" s="14">
        <v>1</v>
      </c>
      <c r="BC166" s="14">
        <v>0</v>
      </c>
      <c r="BD166" s="14">
        <v>1</v>
      </c>
      <c r="BE166" s="14">
        <v>1</v>
      </c>
      <c r="BF166" s="14">
        <v>0</v>
      </c>
      <c r="BG166" s="14">
        <v>0</v>
      </c>
      <c r="BH166" s="14">
        <v>1</v>
      </c>
      <c r="BI166" s="14">
        <v>2</v>
      </c>
      <c r="BJ166" s="14">
        <v>2</v>
      </c>
      <c r="BK166" s="14">
        <v>1</v>
      </c>
      <c r="BL166" s="14">
        <v>1</v>
      </c>
      <c r="BM166" s="17">
        <v>0</v>
      </c>
      <c r="BN166" s="18">
        <v>0</v>
      </c>
      <c r="BO166" s="8" t="s">
        <v>35</v>
      </c>
    </row>
    <row r="167" spans="1:67" ht="15.75">
      <c r="A167" s="8" t="s">
        <v>247</v>
      </c>
      <c r="B167" s="16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6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5">
        <v>0</v>
      </c>
      <c r="AL167" s="16">
        <v>0</v>
      </c>
      <c r="AM167" s="14">
        <v>0</v>
      </c>
      <c r="AN167" s="16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T167" s="16">
        <v>0</v>
      </c>
      <c r="AU167" s="14">
        <v>0</v>
      </c>
      <c r="AV167" s="14">
        <v>0</v>
      </c>
      <c r="AW167" s="14">
        <v>0</v>
      </c>
      <c r="AX167" s="16">
        <v>80</v>
      </c>
      <c r="AY167" s="14">
        <f>320+520</f>
        <v>840</v>
      </c>
      <c r="AZ167" s="15">
        <f>800+1300</f>
        <v>2100</v>
      </c>
      <c r="BA167" s="16">
        <v>2</v>
      </c>
      <c r="BB167" s="14">
        <v>0</v>
      </c>
      <c r="BC167" s="14">
        <v>0</v>
      </c>
      <c r="BD167" s="14">
        <v>0</v>
      </c>
      <c r="BE167" s="14">
        <v>0</v>
      </c>
      <c r="BF167" s="14">
        <v>0</v>
      </c>
      <c r="BG167" s="14">
        <v>0</v>
      </c>
      <c r="BH167" s="14">
        <v>0</v>
      </c>
      <c r="BI167" s="14">
        <v>40</v>
      </c>
      <c r="BJ167" s="14">
        <v>40</v>
      </c>
      <c r="BK167" s="14">
        <v>0</v>
      </c>
      <c r="BL167" s="14">
        <v>0</v>
      </c>
      <c r="BM167" s="17">
        <v>0</v>
      </c>
      <c r="BN167" s="18">
        <v>0</v>
      </c>
      <c r="BO167" s="8" t="s">
        <v>36</v>
      </c>
    </row>
    <row r="168" spans="1:67" ht="15.75">
      <c r="A168" s="8" t="s">
        <v>248</v>
      </c>
      <c r="B168" s="16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6">
        <v>1</v>
      </c>
      <c r="S168" s="14">
        <v>500</v>
      </c>
      <c r="T168" s="14">
        <v>7</v>
      </c>
      <c r="U168" s="14">
        <v>225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15">
        <v>0</v>
      </c>
      <c r="AL168" s="16">
        <v>0</v>
      </c>
      <c r="AM168" s="14">
        <v>0</v>
      </c>
      <c r="AN168" s="16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6">
        <v>0</v>
      </c>
      <c r="AU168" s="14">
        <v>0</v>
      </c>
      <c r="AV168" s="14">
        <v>0</v>
      </c>
      <c r="AW168" s="14">
        <v>0</v>
      </c>
      <c r="AX168" s="16">
        <v>6</v>
      </c>
      <c r="AY168" s="14">
        <f>762+650+520+70+500+580</f>
        <v>3082</v>
      </c>
      <c r="AZ168" s="15">
        <f>3048+2600+20812+1278+5240+26500</f>
        <v>59478</v>
      </c>
      <c r="BA168" s="16">
        <v>1</v>
      </c>
      <c r="BB168" s="14">
        <v>0</v>
      </c>
      <c r="BC168" s="14">
        <v>0</v>
      </c>
      <c r="BD168" s="14">
        <v>0</v>
      </c>
      <c r="BE168" s="14">
        <v>0</v>
      </c>
      <c r="BF168" s="14">
        <v>0</v>
      </c>
      <c r="BG168" s="14">
        <v>0</v>
      </c>
      <c r="BH168" s="14">
        <v>0</v>
      </c>
      <c r="BI168" s="14">
        <v>3</v>
      </c>
      <c r="BJ168" s="14">
        <v>5</v>
      </c>
      <c r="BK168" s="14">
        <v>0</v>
      </c>
      <c r="BL168" s="14">
        <v>0</v>
      </c>
      <c r="BM168" s="17">
        <v>0</v>
      </c>
      <c r="BN168" s="18">
        <v>0</v>
      </c>
      <c r="BO168" s="8" t="s">
        <v>36</v>
      </c>
    </row>
    <row r="169" spans="1:67" ht="15.75">
      <c r="A169" s="8" t="s">
        <v>249</v>
      </c>
      <c r="B169" s="16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1</v>
      </c>
      <c r="I169" s="14">
        <v>32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6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15">
        <v>0</v>
      </c>
      <c r="AL169" s="16">
        <v>0</v>
      </c>
      <c r="AM169" s="14">
        <v>0</v>
      </c>
      <c r="AN169" s="16">
        <v>0</v>
      </c>
      <c r="AO169" s="14">
        <v>0</v>
      </c>
      <c r="AP169" s="14">
        <v>0</v>
      </c>
      <c r="AQ169" s="14">
        <v>0</v>
      </c>
      <c r="AR169" s="14">
        <v>0</v>
      </c>
      <c r="AS169" s="14">
        <v>0</v>
      </c>
      <c r="AT169" s="16">
        <v>0</v>
      </c>
      <c r="AU169" s="14">
        <v>0</v>
      </c>
      <c r="AV169" s="14">
        <v>0</v>
      </c>
      <c r="AW169" s="14">
        <v>0</v>
      </c>
      <c r="AX169" s="16">
        <v>1</v>
      </c>
      <c r="AY169" s="14">
        <v>4000</v>
      </c>
      <c r="AZ169" s="15" t="s">
        <v>115</v>
      </c>
      <c r="BA169" s="16">
        <v>1</v>
      </c>
      <c r="BB169" s="14">
        <v>0</v>
      </c>
      <c r="BC169" s="14">
        <v>0</v>
      </c>
      <c r="BD169" s="14">
        <v>0</v>
      </c>
      <c r="BE169" s="14">
        <v>0</v>
      </c>
      <c r="BF169" s="14">
        <v>0</v>
      </c>
      <c r="BG169" s="14">
        <v>0</v>
      </c>
      <c r="BH169" s="14">
        <v>0</v>
      </c>
      <c r="BI169" s="14">
        <v>1</v>
      </c>
      <c r="BJ169" s="14">
        <v>1</v>
      </c>
      <c r="BK169" s="14">
        <v>1</v>
      </c>
      <c r="BL169" s="14">
        <v>0</v>
      </c>
      <c r="BM169" s="17">
        <v>0</v>
      </c>
      <c r="BN169" s="18">
        <v>0</v>
      </c>
      <c r="BO169" s="8" t="s">
        <v>36</v>
      </c>
    </row>
    <row r="170" spans="1:67" ht="15.75">
      <c r="A170" s="8" t="s">
        <v>250</v>
      </c>
      <c r="B170" s="16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6">
        <v>7</v>
      </c>
      <c r="S170" s="14">
        <v>1870</v>
      </c>
      <c r="T170" s="14">
        <v>3</v>
      </c>
      <c r="U170" s="14">
        <v>120</v>
      </c>
      <c r="V170" s="14">
        <v>0</v>
      </c>
      <c r="W170" s="14">
        <v>1</v>
      </c>
      <c r="X170" s="14">
        <v>60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1</v>
      </c>
      <c r="AK170" s="15">
        <v>1340</v>
      </c>
      <c r="AL170" s="16">
        <v>0</v>
      </c>
      <c r="AM170" s="14">
        <v>0</v>
      </c>
      <c r="AN170" s="16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  <c r="AT170" s="16">
        <v>1</v>
      </c>
      <c r="AU170" s="14">
        <v>0</v>
      </c>
      <c r="AV170" s="14">
        <v>0</v>
      </c>
      <c r="AW170" s="14">
        <v>0</v>
      </c>
      <c r="AX170" s="16">
        <v>1</v>
      </c>
      <c r="AY170" s="14">
        <v>1050</v>
      </c>
      <c r="AZ170" s="15">
        <v>25000</v>
      </c>
      <c r="BA170" s="16">
        <v>1</v>
      </c>
      <c r="BB170" s="14">
        <v>0</v>
      </c>
      <c r="BC170" s="14">
        <v>0</v>
      </c>
      <c r="BD170" s="14">
        <v>0</v>
      </c>
      <c r="BE170" s="14">
        <v>0</v>
      </c>
      <c r="BF170" s="14">
        <v>0</v>
      </c>
      <c r="BG170" s="14">
        <v>0</v>
      </c>
      <c r="BH170" s="14">
        <v>0</v>
      </c>
      <c r="BI170" s="14">
        <v>0</v>
      </c>
      <c r="BJ170" s="14">
        <v>1</v>
      </c>
      <c r="BK170" s="14">
        <v>0</v>
      </c>
      <c r="BL170" s="14">
        <v>0</v>
      </c>
      <c r="BM170" s="17">
        <v>0</v>
      </c>
      <c r="BN170" s="18">
        <v>0</v>
      </c>
      <c r="BO170" s="8" t="s">
        <v>36</v>
      </c>
    </row>
    <row r="171" spans="1:67" ht="15.75">
      <c r="A171" s="8" t="s">
        <v>251</v>
      </c>
      <c r="B171" s="16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6">
        <v>0</v>
      </c>
      <c r="S171" s="14">
        <v>0</v>
      </c>
      <c r="T171" s="14">
        <v>6</v>
      </c>
      <c r="U171" s="14">
        <v>20020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5">
        <v>0</v>
      </c>
      <c r="AL171" s="16">
        <v>2</v>
      </c>
      <c r="AM171" s="14">
        <v>25</v>
      </c>
      <c r="AN171" s="16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6">
        <v>1</v>
      </c>
      <c r="AU171" s="14">
        <v>0</v>
      </c>
      <c r="AV171" s="14">
        <v>0</v>
      </c>
      <c r="AW171" s="14">
        <v>0</v>
      </c>
      <c r="AX171" s="16">
        <v>6</v>
      </c>
      <c r="AY171" s="14">
        <f>308.5+296.4+244.4+110+240+8.5</f>
        <v>1207.8</v>
      </c>
      <c r="AZ171" s="15">
        <f>555.3+1037.4+1222+385+840+12.75</f>
        <v>4052.45</v>
      </c>
      <c r="BA171" s="16">
        <v>1</v>
      </c>
      <c r="BB171" s="14">
        <v>0</v>
      </c>
      <c r="BC171" s="14">
        <v>0</v>
      </c>
      <c r="BD171" s="14">
        <v>0</v>
      </c>
      <c r="BE171" s="14">
        <v>0</v>
      </c>
      <c r="BF171" s="14">
        <v>0</v>
      </c>
      <c r="BG171" s="14">
        <v>0</v>
      </c>
      <c r="BH171" s="14">
        <v>1</v>
      </c>
      <c r="BI171" s="14">
        <v>1</v>
      </c>
      <c r="BJ171" s="14">
        <v>6</v>
      </c>
      <c r="BK171" s="14">
        <v>1</v>
      </c>
      <c r="BL171" s="14">
        <v>0</v>
      </c>
      <c r="BM171" s="17">
        <v>0</v>
      </c>
      <c r="BN171" s="18">
        <v>0</v>
      </c>
      <c r="BO171" s="8" t="s">
        <v>36</v>
      </c>
    </row>
    <row r="172" spans="1:67" ht="15.75">
      <c r="A172" s="8" t="s">
        <v>36</v>
      </c>
      <c r="B172" s="16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1</v>
      </c>
      <c r="O172" s="14">
        <v>20</v>
      </c>
      <c r="P172" s="14">
        <v>0</v>
      </c>
      <c r="Q172" s="14">
        <v>0</v>
      </c>
      <c r="R172" s="16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5">
        <v>0</v>
      </c>
      <c r="AL172" s="16">
        <v>0</v>
      </c>
      <c r="AM172" s="14">
        <v>0</v>
      </c>
      <c r="AN172" s="16">
        <v>0</v>
      </c>
      <c r="AO172" s="14">
        <v>0</v>
      </c>
      <c r="AP172" s="14">
        <v>0</v>
      </c>
      <c r="AQ172" s="14">
        <v>0</v>
      </c>
      <c r="AR172" s="14">
        <v>0</v>
      </c>
      <c r="AS172" s="14">
        <v>0</v>
      </c>
      <c r="AT172" s="16">
        <v>0</v>
      </c>
      <c r="AU172" s="14">
        <v>0</v>
      </c>
      <c r="AV172" s="14">
        <v>0</v>
      </c>
      <c r="AW172" s="14">
        <v>0</v>
      </c>
      <c r="AX172" s="16">
        <v>5</v>
      </c>
      <c r="AY172" s="14">
        <f>110+240+310+1010+1039</f>
        <v>2709</v>
      </c>
      <c r="AZ172" s="15">
        <f>330+720+1395+3030+3117</f>
        <v>8592</v>
      </c>
      <c r="BA172" s="16">
        <v>3</v>
      </c>
      <c r="BB172" s="14">
        <v>0</v>
      </c>
      <c r="BC172" s="14">
        <v>0</v>
      </c>
      <c r="BD172" s="14">
        <v>0</v>
      </c>
      <c r="BE172" s="14">
        <v>0</v>
      </c>
      <c r="BF172" s="14">
        <v>0</v>
      </c>
      <c r="BG172" s="14">
        <v>0</v>
      </c>
      <c r="BH172" s="14">
        <v>1</v>
      </c>
      <c r="BI172" s="14">
        <v>3</v>
      </c>
      <c r="BJ172" s="14">
        <v>4</v>
      </c>
      <c r="BK172" s="14">
        <v>1</v>
      </c>
      <c r="BL172" s="14">
        <v>1</v>
      </c>
      <c r="BM172" s="17">
        <v>0</v>
      </c>
      <c r="BN172" s="18">
        <v>0</v>
      </c>
      <c r="BO172" s="8" t="s">
        <v>36</v>
      </c>
    </row>
    <row r="173" spans="1:67" ht="15.75">
      <c r="A173" s="8" t="s">
        <v>252</v>
      </c>
      <c r="B173" s="16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6">
        <v>0</v>
      </c>
      <c r="S173" s="14">
        <v>0</v>
      </c>
      <c r="T173" s="14">
        <v>5</v>
      </c>
      <c r="U173" s="14">
        <v>62</v>
      </c>
      <c r="V173" s="14" t="s">
        <v>117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0</v>
      </c>
      <c r="AK173" s="15">
        <v>0</v>
      </c>
      <c r="AL173" s="16">
        <v>2</v>
      </c>
      <c r="AM173" s="14">
        <v>20</v>
      </c>
      <c r="AN173" s="16">
        <v>0</v>
      </c>
      <c r="AO173" s="14">
        <v>0</v>
      </c>
      <c r="AP173" s="14">
        <v>0</v>
      </c>
      <c r="AQ173" s="14">
        <v>0</v>
      </c>
      <c r="AR173" s="14">
        <v>0</v>
      </c>
      <c r="AS173" s="14">
        <v>0</v>
      </c>
      <c r="AT173" s="16">
        <v>0</v>
      </c>
      <c r="AU173" s="14">
        <v>0</v>
      </c>
      <c r="AV173" s="14">
        <v>0</v>
      </c>
      <c r="AW173" s="14">
        <v>0</v>
      </c>
      <c r="AX173" s="16">
        <v>2</v>
      </c>
      <c r="AY173" s="14" t="s">
        <v>115</v>
      </c>
      <c r="AZ173" s="15">
        <v>0</v>
      </c>
      <c r="BA173" s="16">
        <v>1</v>
      </c>
      <c r="BB173" s="14">
        <v>0</v>
      </c>
      <c r="BC173" s="14">
        <v>0</v>
      </c>
      <c r="BD173" s="14">
        <v>0</v>
      </c>
      <c r="BE173" s="14">
        <v>0</v>
      </c>
      <c r="BF173" s="14">
        <v>0</v>
      </c>
      <c r="BG173" s="14">
        <v>0</v>
      </c>
      <c r="BH173" s="14">
        <v>0</v>
      </c>
      <c r="BI173" s="14">
        <v>1</v>
      </c>
      <c r="BJ173" s="14">
        <v>2</v>
      </c>
      <c r="BK173" s="14">
        <v>0</v>
      </c>
      <c r="BL173" s="14">
        <v>0</v>
      </c>
      <c r="BM173" s="17">
        <v>0</v>
      </c>
      <c r="BN173" s="18">
        <v>0</v>
      </c>
      <c r="BO173" s="8" t="s">
        <v>37</v>
      </c>
    </row>
    <row r="174" spans="1:67" ht="15.75">
      <c r="A174" s="8" t="s">
        <v>253</v>
      </c>
      <c r="B174" s="16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6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0</v>
      </c>
      <c r="AK174" s="15">
        <v>0</v>
      </c>
      <c r="AL174" s="16">
        <v>0</v>
      </c>
      <c r="AM174" s="14">
        <v>0</v>
      </c>
      <c r="AN174" s="16">
        <v>0</v>
      </c>
      <c r="AO174" s="14">
        <v>0</v>
      </c>
      <c r="AP174" s="14">
        <v>0</v>
      </c>
      <c r="AQ174" s="14">
        <v>0</v>
      </c>
      <c r="AR174" s="14">
        <v>0</v>
      </c>
      <c r="AS174" s="14">
        <v>0</v>
      </c>
      <c r="AT174" s="16">
        <v>0</v>
      </c>
      <c r="AU174" s="14">
        <v>0</v>
      </c>
      <c r="AV174" s="14">
        <v>0</v>
      </c>
      <c r="AW174" s="14">
        <v>0</v>
      </c>
      <c r="AX174" s="16">
        <v>2</v>
      </c>
      <c r="AY174" s="14">
        <f>2300+800</f>
        <v>3100</v>
      </c>
      <c r="AZ174" s="15">
        <v>0</v>
      </c>
      <c r="BA174" s="16">
        <v>0</v>
      </c>
      <c r="BB174" s="14">
        <v>0</v>
      </c>
      <c r="BC174" s="14">
        <v>0</v>
      </c>
      <c r="BD174" s="14">
        <v>0</v>
      </c>
      <c r="BE174" s="14">
        <v>0</v>
      </c>
      <c r="BF174" s="14">
        <v>0</v>
      </c>
      <c r="BG174" s="14">
        <v>0</v>
      </c>
      <c r="BH174" s="14">
        <v>0</v>
      </c>
      <c r="BI174" s="14">
        <v>2</v>
      </c>
      <c r="BJ174" s="14">
        <v>1</v>
      </c>
      <c r="BK174" s="14">
        <v>0</v>
      </c>
      <c r="BL174" s="14">
        <v>0</v>
      </c>
      <c r="BM174" s="17">
        <v>0</v>
      </c>
      <c r="BN174" s="18">
        <v>0</v>
      </c>
      <c r="BO174" s="8" t="s">
        <v>37</v>
      </c>
    </row>
    <row r="175" spans="1:67" ht="15.75">
      <c r="A175" s="8" t="s">
        <v>254</v>
      </c>
      <c r="B175" s="16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6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5">
        <v>0</v>
      </c>
      <c r="AL175" s="16">
        <v>0</v>
      </c>
      <c r="AM175" s="14">
        <v>0</v>
      </c>
      <c r="AN175" s="16">
        <v>0</v>
      </c>
      <c r="AO175" s="14">
        <v>0</v>
      </c>
      <c r="AP175" s="14">
        <v>0</v>
      </c>
      <c r="AQ175" s="14">
        <v>0</v>
      </c>
      <c r="AR175" s="14">
        <v>0</v>
      </c>
      <c r="AS175" s="14">
        <v>0</v>
      </c>
      <c r="AT175" s="16">
        <v>0</v>
      </c>
      <c r="AU175" s="14">
        <v>0</v>
      </c>
      <c r="AV175" s="14">
        <v>0</v>
      </c>
      <c r="AW175" s="14">
        <v>0</v>
      </c>
      <c r="AX175" s="16">
        <v>1</v>
      </c>
      <c r="AY175" s="14">
        <v>1500</v>
      </c>
      <c r="AZ175" s="15">
        <v>0</v>
      </c>
      <c r="BA175" s="16">
        <v>1</v>
      </c>
      <c r="BB175" s="14">
        <v>0</v>
      </c>
      <c r="BC175" s="14">
        <v>0</v>
      </c>
      <c r="BD175" s="14">
        <v>0</v>
      </c>
      <c r="BE175" s="14">
        <v>0</v>
      </c>
      <c r="BF175" s="14">
        <v>0</v>
      </c>
      <c r="BG175" s="14">
        <v>0</v>
      </c>
      <c r="BH175" s="14">
        <v>0</v>
      </c>
      <c r="BI175" s="14">
        <v>1</v>
      </c>
      <c r="BJ175" s="14">
        <v>1</v>
      </c>
      <c r="BK175" s="14">
        <v>0</v>
      </c>
      <c r="BL175" s="14">
        <v>0</v>
      </c>
      <c r="BM175" s="17">
        <v>0</v>
      </c>
      <c r="BN175" s="18">
        <v>0</v>
      </c>
      <c r="BO175" s="8" t="s">
        <v>37</v>
      </c>
    </row>
    <row r="176" spans="1:67" ht="15.75">
      <c r="A176" s="8" t="s">
        <v>37</v>
      </c>
      <c r="B176" s="16">
        <v>1</v>
      </c>
      <c r="C176" s="14">
        <v>440</v>
      </c>
      <c r="D176" s="14">
        <v>1</v>
      </c>
      <c r="E176" s="14">
        <v>63000</v>
      </c>
      <c r="F176" s="14">
        <v>0</v>
      </c>
      <c r="G176" s="14">
        <v>0</v>
      </c>
      <c r="H176" s="14">
        <v>2</v>
      </c>
      <c r="I176" s="14">
        <v>20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6">
        <v>21</v>
      </c>
      <c r="S176" s="14">
        <v>1464800</v>
      </c>
      <c r="T176" s="14">
        <v>177</v>
      </c>
      <c r="U176" s="14">
        <v>676000</v>
      </c>
      <c r="V176" s="14" t="s">
        <v>117</v>
      </c>
      <c r="W176" s="14">
        <v>184</v>
      </c>
      <c r="X176" s="14">
        <v>286400</v>
      </c>
      <c r="Y176" s="14" t="s">
        <v>117</v>
      </c>
      <c r="Z176" s="14" t="s">
        <v>115</v>
      </c>
      <c r="AA176" s="14">
        <v>278600</v>
      </c>
      <c r="AB176" s="14" t="s">
        <v>115</v>
      </c>
      <c r="AC176" s="14">
        <v>5000</v>
      </c>
      <c r="AD176" s="14" t="s">
        <v>115</v>
      </c>
      <c r="AE176" s="14">
        <v>372000</v>
      </c>
      <c r="AF176" s="14" t="s">
        <v>115</v>
      </c>
      <c r="AG176" s="14">
        <v>19800</v>
      </c>
      <c r="AH176" s="14">
        <v>0</v>
      </c>
      <c r="AI176" s="14">
        <v>0</v>
      </c>
      <c r="AJ176" s="14" t="s">
        <v>115</v>
      </c>
      <c r="AK176" s="15">
        <v>4261500</v>
      </c>
      <c r="AL176" s="16">
        <v>2</v>
      </c>
      <c r="AM176" s="14">
        <v>9500</v>
      </c>
      <c r="AN176" s="16">
        <v>4</v>
      </c>
      <c r="AO176" s="14">
        <v>0</v>
      </c>
      <c r="AP176" s="14">
        <v>4</v>
      </c>
      <c r="AQ176" s="14">
        <v>10</v>
      </c>
      <c r="AR176" s="14">
        <v>1</v>
      </c>
      <c r="AS176" s="14">
        <v>0</v>
      </c>
      <c r="AT176" s="16">
        <v>52</v>
      </c>
      <c r="AU176" s="14">
        <v>10</v>
      </c>
      <c r="AV176" s="14">
        <v>22</v>
      </c>
      <c r="AW176" s="14">
        <v>0</v>
      </c>
      <c r="AX176" s="16">
        <v>45</v>
      </c>
      <c r="AY176" s="14">
        <f>100+240+141+330+256+662+270+360+755+270+380+240+393+496+277+260+273+360+190+240+170+656+170+500+100+400+408+108+1497+575+245+639+2121+242+205+380+147+175+170+700+320</f>
        <v>16421</v>
      </c>
      <c r="AZ176" s="15">
        <f>1539+5783+7585+9967+27774+48349+36238+6275+19663+5354+12850+5400+17694+8091+7582+42890+3745+7893+10628+32797+12800+10199+17240</f>
        <v>358336</v>
      </c>
      <c r="BA176" s="16">
        <v>3</v>
      </c>
      <c r="BB176" s="14">
        <v>9</v>
      </c>
      <c r="BC176" s="14">
        <v>10</v>
      </c>
      <c r="BD176" s="14">
        <v>18</v>
      </c>
      <c r="BE176" s="14">
        <v>12</v>
      </c>
      <c r="BF176" s="14">
        <v>4</v>
      </c>
      <c r="BG176" s="14">
        <v>4</v>
      </c>
      <c r="BH176" s="14">
        <v>0</v>
      </c>
      <c r="BI176" s="14">
        <v>1</v>
      </c>
      <c r="BJ176" s="14">
        <v>1</v>
      </c>
      <c r="BK176" s="14">
        <v>0</v>
      </c>
      <c r="BL176" s="14">
        <v>0</v>
      </c>
      <c r="BM176" s="17">
        <v>12</v>
      </c>
      <c r="BN176" s="18">
        <v>21</v>
      </c>
      <c r="BO176" s="8" t="s">
        <v>37</v>
      </c>
    </row>
    <row r="177" spans="1:67" ht="15.75">
      <c r="A177" s="8" t="s">
        <v>255</v>
      </c>
      <c r="B177" s="16">
        <v>0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6">
        <v>1</v>
      </c>
      <c r="S177" s="14">
        <v>100000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14</v>
      </c>
      <c r="AA177" s="14">
        <v>33000</v>
      </c>
      <c r="AB177" s="14">
        <v>1</v>
      </c>
      <c r="AC177" s="14">
        <v>14000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5">
        <v>0</v>
      </c>
      <c r="AL177" s="16">
        <v>0</v>
      </c>
      <c r="AM177" s="14">
        <v>0</v>
      </c>
      <c r="AN177" s="16">
        <v>0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  <c r="AT177" s="16">
        <v>0</v>
      </c>
      <c r="AU177" s="14">
        <v>0</v>
      </c>
      <c r="AV177" s="14">
        <v>0</v>
      </c>
      <c r="AW177" s="14">
        <v>0</v>
      </c>
      <c r="AX177" s="16">
        <v>14</v>
      </c>
      <c r="AY177" s="14">
        <f>7*93+3*67+110+2*180+128</f>
        <v>1450</v>
      </c>
      <c r="AZ177" s="15">
        <f>2*4625+5*3330+5*4995+12600+1620</f>
        <v>65095</v>
      </c>
      <c r="BA177" s="16">
        <v>14</v>
      </c>
      <c r="BB177" s="14">
        <v>0</v>
      </c>
      <c r="BC177" s="14">
        <v>0</v>
      </c>
      <c r="BD177" s="14">
        <v>14</v>
      </c>
      <c r="BE177" s="14">
        <v>14</v>
      </c>
      <c r="BF177" s="14">
        <v>14</v>
      </c>
      <c r="BG177" s="14">
        <v>8</v>
      </c>
      <c r="BH177" s="14">
        <v>14</v>
      </c>
      <c r="BI177" s="14">
        <v>0</v>
      </c>
      <c r="BJ177" s="14">
        <v>0</v>
      </c>
      <c r="BK177" s="14">
        <v>14</v>
      </c>
      <c r="BL177" s="14">
        <v>0</v>
      </c>
      <c r="BM177" s="17">
        <v>0</v>
      </c>
      <c r="BN177" s="18">
        <v>0</v>
      </c>
      <c r="BO177" s="8" t="s">
        <v>38</v>
      </c>
    </row>
    <row r="178" spans="1:67" ht="15.75">
      <c r="A178" s="8" t="s">
        <v>256</v>
      </c>
      <c r="B178" s="16">
        <v>0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6">
        <v>5</v>
      </c>
      <c r="S178" s="14">
        <v>300000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5</v>
      </c>
      <c r="AK178" s="15">
        <v>164000</v>
      </c>
      <c r="AL178" s="16">
        <v>0</v>
      </c>
      <c r="AM178" s="14">
        <v>0</v>
      </c>
      <c r="AN178" s="16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6">
        <v>12</v>
      </c>
      <c r="AU178" s="14">
        <v>0</v>
      </c>
      <c r="AV178" s="14">
        <v>7</v>
      </c>
      <c r="AW178" s="14">
        <v>0</v>
      </c>
      <c r="AX178" s="16">
        <v>13</v>
      </c>
      <c r="AY178" s="14">
        <f>5*129+145+4*110+135.12+130.78+229</f>
        <v>1724.8999999999999</v>
      </c>
      <c r="AZ178" s="15">
        <f>5*1548+1740+4*1320+1621.44+1569.36+2748</f>
        <v>20698.8</v>
      </c>
      <c r="BA178" s="16">
        <v>1</v>
      </c>
      <c r="BB178" s="14">
        <v>0</v>
      </c>
      <c r="BC178" s="14">
        <v>0</v>
      </c>
      <c r="BD178" s="14">
        <v>13</v>
      </c>
      <c r="BE178" s="14">
        <v>13</v>
      </c>
      <c r="BF178" s="14">
        <v>0</v>
      </c>
      <c r="BG178" s="14">
        <v>1</v>
      </c>
      <c r="BH178" s="14">
        <v>0</v>
      </c>
      <c r="BI178" s="14">
        <v>0</v>
      </c>
      <c r="BJ178" s="14">
        <v>0</v>
      </c>
      <c r="BK178" s="14">
        <v>0</v>
      </c>
      <c r="BL178" s="14">
        <v>0</v>
      </c>
      <c r="BM178" s="17">
        <v>0</v>
      </c>
      <c r="BN178" s="18">
        <v>0</v>
      </c>
      <c r="BO178" s="8" t="s">
        <v>38</v>
      </c>
    </row>
    <row r="179" spans="1:67" ht="15.75">
      <c r="A179" s="8" t="s">
        <v>257</v>
      </c>
      <c r="B179" s="16">
        <v>0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6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5">
        <v>0</v>
      </c>
      <c r="AL179" s="16">
        <v>2</v>
      </c>
      <c r="AM179" s="14" t="s">
        <v>115</v>
      </c>
      <c r="AN179" s="16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6">
        <v>0</v>
      </c>
      <c r="AU179" s="14">
        <v>0</v>
      </c>
      <c r="AV179" s="14">
        <v>0</v>
      </c>
      <c r="AW179" s="14">
        <v>0</v>
      </c>
      <c r="AX179" s="16">
        <v>4</v>
      </c>
      <c r="AY179" s="14">
        <f>30+90+250+400</f>
        <v>770</v>
      </c>
      <c r="AZ179" s="15">
        <f>218.14+101</f>
        <v>319.14</v>
      </c>
      <c r="BA179" s="16">
        <v>1</v>
      </c>
      <c r="BB179" s="14">
        <v>0</v>
      </c>
      <c r="BC179" s="14">
        <v>0</v>
      </c>
      <c r="BD179" s="14">
        <v>0</v>
      </c>
      <c r="BE179" s="14">
        <v>0</v>
      </c>
      <c r="BF179" s="14">
        <v>0</v>
      </c>
      <c r="BG179" s="14">
        <v>0</v>
      </c>
      <c r="BH179" s="14">
        <v>0</v>
      </c>
      <c r="BI179" s="14">
        <v>1</v>
      </c>
      <c r="BJ179" s="14">
        <v>2</v>
      </c>
      <c r="BK179" s="14">
        <v>0</v>
      </c>
      <c r="BL179" s="14">
        <v>0</v>
      </c>
      <c r="BM179" s="17">
        <v>0</v>
      </c>
      <c r="BN179" s="18">
        <v>0</v>
      </c>
      <c r="BO179" s="8" t="s">
        <v>39</v>
      </c>
    </row>
    <row r="180" spans="1:67" ht="15.75">
      <c r="A180" s="8" t="s">
        <v>258</v>
      </c>
      <c r="B180" s="16">
        <v>0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6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0</v>
      </c>
      <c r="AK180" s="15">
        <v>0</v>
      </c>
      <c r="AL180" s="16">
        <v>0</v>
      </c>
      <c r="AM180" s="14">
        <v>0</v>
      </c>
      <c r="AN180" s="16">
        <v>0</v>
      </c>
      <c r="AO180" s="14">
        <v>0</v>
      </c>
      <c r="AP180" s="14">
        <v>0</v>
      </c>
      <c r="AQ180" s="14">
        <v>0</v>
      </c>
      <c r="AR180" s="14">
        <v>0</v>
      </c>
      <c r="AS180" s="14">
        <v>0</v>
      </c>
      <c r="AT180" s="16">
        <v>0</v>
      </c>
      <c r="AU180" s="14">
        <v>0</v>
      </c>
      <c r="AV180" s="14">
        <v>0</v>
      </c>
      <c r="AW180" s="14">
        <v>0</v>
      </c>
      <c r="AX180" s="16">
        <v>1</v>
      </c>
      <c r="AY180" s="14">
        <v>1100</v>
      </c>
      <c r="AZ180" s="15">
        <v>2200</v>
      </c>
      <c r="BA180" s="16">
        <v>0</v>
      </c>
      <c r="BB180" s="14">
        <v>0</v>
      </c>
      <c r="BC180" s="14">
        <v>0</v>
      </c>
      <c r="BD180" s="14">
        <v>0</v>
      </c>
      <c r="BE180" s="14">
        <v>0</v>
      </c>
      <c r="BF180" s="14">
        <v>0</v>
      </c>
      <c r="BG180" s="14">
        <v>0</v>
      </c>
      <c r="BH180" s="14">
        <v>0</v>
      </c>
      <c r="BI180" s="14">
        <v>0</v>
      </c>
      <c r="BJ180" s="14">
        <v>1</v>
      </c>
      <c r="BK180" s="14">
        <v>0</v>
      </c>
      <c r="BL180" s="14">
        <v>0</v>
      </c>
      <c r="BM180" s="17">
        <v>0</v>
      </c>
      <c r="BN180" s="18">
        <v>0</v>
      </c>
      <c r="BO180" s="8" t="s">
        <v>39</v>
      </c>
    </row>
    <row r="181" spans="1:67" ht="15.75">
      <c r="A181" s="8" t="s">
        <v>259</v>
      </c>
      <c r="B181" s="16">
        <v>0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6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0</v>
      </c>
      <c r="AK181" s="15">
        <v>0</v>
      </c>
      <c r="AL181" s="16">
        <v>0</v>
      </c>
      <c r="AM181" s="14">
        <v>0</v>
      </c>
      <c r="AN181" s="16">
        <v>0</v>
      </c>
      <c r="AO181" s="14">
        <v>0</v>
      </c>
      <c r="AP181" s="14">
        <v>0</v>
      </c>
      <c r="AQ181" s="14">
        <v>0</v>
      </c>
      <c r="AR181" s="14">
        <v>0</v>
      </c>
      <c r="AS181" s="14">
        <v>0</v>
      </c>
      <c r="AT181" s="16">
        <v>0</v>
      </c>
      <c r="AU181" s="14">
        <v>0</v>
      </c>
      <c r="AV181" s="14">
        <v>0</v>
      </c>
      <c r="AW181" s="14">
        <v>0</v>
      </c>
      <c r="AX181" s="16">
        <v>1</v>
      </c>
      <c r="AY181" s="14">
        <v>500</v>
      </c>
      <c r="AZ181" s="15">
        <v>1000</v>
      </c>
      <c r="BA181" s="16">
        <v>0</v>
      </c>
      <c r="BB181" s="14">
        <v>0</v>
      </c>
      <c r="BC181" s="14">
        <v>0</v>
      </c>
      <c r="BD181" s="14">
        <v>0</v>
      </c>
      <c r="BE181" s="14">
        <v>0</v>
      </c>
      <c r="BF181" s="14">
        <v>0</v>
      </c>
      <c r="BG181" s="14">
        <v>0</v>
      </c>
      <c r="BH181" s="14">
        <v>0</v>
      </c>
      <c r="BI181" s="14">
        <v>0</v>
      </c>
      <c r="BJ181" s="14">
        <v>1</v>
      </c>
      <c r="BK181" s="14">
        <v>0</v>
      </c>
      <c r="BL181" s="14">
        <v>0</v>
      </c>
      <c r="BM181" s="17">
        <v>0</v>
      </c>
      <c r="BN181" s="18">
        <v>0</v>
      </c>
      <c r="BO181" s="8" t="s">
        <v>39</v>
      </c>
    </row>
    <row r="182" spans="1:67" ht="15.75">
      <c r="A182" s="8" t="s">
        <v>260</v>
      </c>
      <c r="B182" s="16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6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0</v>
      </c>
      <c r="AK182" s="15">
        <v>0</v>
      </c>
      <c r="AL182" s="16">
        <v>0</v>
      </c>
      <c r="AM182" s="14">
        <v>0</v>
      </c>
      <c r="AN182" s="16">
        <v>0</v>
      </c>
      <c r="AO182" s="14">
        <v>0</v>
      </c>
      <c r="AP182" s="14">
        <v>0</v>
      </c>
      <c r="AQ182" s="14">
        <v>0</v>
      </c>
      <c r="AR182" s="14">
        <v>0</v>
      </c>
      <c r="AS182" s="14">
        <v>0</v>
      </c>
      <c r="AT182" s="16">
        <v>0</v>
      </c>
      <c r="AU182" s="14">
        <v>0</v>
      </c>
      <c r="AV182" s="14">
        <v>0</v>
      </c>
      <c r="AW182" s="14">
        <v>0</v>
      </c>
      <c r="AX182" s="16">
        <v>1</v>
      </c>
      <c r="AY182" s="14">
        <v>2350</v>
      </c>
      <c r="AZ182" s="15">
        <v>4700</v>
      </c>
      <c r="BA182" s="16">
        <v>0</v>
      </c>
      <c r="BB182" s="14">
        <v>0</v>
      </c>
      <c r="BC182" s="14">
        <v>0</v>
      </c>
      <c r="BD182" s="14">
        <v>0</v>
      </c>
      <c r="BE182" s="14">
        <v>0</v>
      </c>
      <c r="BF182" s="14">
        <v>0</v>
      </c>
      <c r="BG182" s="14">
        <v>0</v>
      </c>
      <c r="BH182" s="14">
        <v>0</v>
      </c>
      <c r="BI182" s="14">
        <v>0</v>
      </c>
      <c r="BJ182" s="14">
        <v>1</v>
      </c>
      <c r="BK182" s="14">
        <v>0</v>
      </c>
      <c r="BL182" s="14">
        <v>0</v>
      </c>
      <c r="BM182" s="17">
        <v>0</v>
      </c>
      <c r="BN182" s="18">
        <v>0</v>
      </c>
      <c r="BO182" s="8" t="s">
        <v>39</v>
      </c>
    </row>
    <row r="183" spans="1:67" ht="15.75">
      <c r="A183" s="8" t="s">
        <v>261</v>
      </c>
      <c r="B183" s="16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6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5">
        <v>0</v>
      </c>
      <c r="AL183" s="16">
        <v>0</v>
      </c>
      <c r="AM183" s="14">
        <v>0</v>
      </c>
      <c r="AN183" s="16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6">
        <v>0</v>
      </c>
      <c r="AU183" s="14">
        <v>0</v>
      </c>
      <c r="AV183" s="14">
        <v>0</v>
      </c>
      <c r="AW183" s="14">
        <v>0</v>
      </c>
      <c r="AX183" s="16">
        <v>1</v>
      </c>
      <c r="AY183" s="14">
        <v>200</v>
      </c>
      <c r="AZ183" s="15">
        <v>400</v>
      </c>
      <c r="BA183" s="16">
        <v>0</v>
      </c>
      <c r="BB183" s="14">
        <v>0</v>
      </c>
      <c r="BC183" s="14">
        <v>0</v>
      </c>
      <c r="BD183" s="14">
        <v>0</v>
      </c>
      <c r="BE183" s="14">
        <v>0</v>
      </c>
      <c r="BF183" s="14">
        <v>0</v>
      </c>
      <c r="BG183" s="14">
        <v>0</v>
      </c>
      <c r="BH183" s="14">
        <v>0</v>
      </c>
      <c r="BI183" s="14">
        <v>1</v>
      </c>
      <c r="BJ183" s="14">
        <v>1</v>
      </c>
      <c r="BK183" s="14">
        <v>0</v>
      </c>
      <c r="BL183" s="14">
        <v>0</v>
      </c>
      <c r="BM183" s="17">
        <v>0</v>
      </c>
      <c r="BN183" s="18">
        <v>0</v>
      </c>
      <c r="BO183" s="8" t="s">
        <v>39</v>
      </c>
    </row>
    <row r="184" spans="1:67" ht="15.75">
      <c r="A184" s="8" t="s">
        <v>262</v>
      </c>
      <c r="B184" s="16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6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5">
        <v>0</v>
      </c>
      <c r="AL184" s="16">
        <v>4</v>
      </c>
      <c r="AM184" s="14" t="s">
        <v>115</v>
      </c>
      <c r="AN184" s="16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6">
        <v>0</v>
      </c>
      <c r="AU184" s="14">
        <v>0</v>
      </c>
      <c r="AV184" s="14">
        <v>0</v>
      </c>
      <c r="AW184" s="14">
        <v>0</v>
      </c>
      <c r="AX184" s="16">
        <v>9</v>
      </c>
      <c r="AY184" s="14">
        <f>350+40+50+40+600+500+120+450+500</f>
        <v>2650</v>
      </c>
      <c r="AZ184" s="15">
        <f>1738.63+120</f>
        <v>1858.63</v>
      </c>
      <c r="BA184" s="16">
        <v>2</v>
      </c>
      <c r="BB184" s="14">
        <v>0</v>
      </c>
      <c r="BC184" s="14">
        <v>0</v>
      </c>
      <c r="BD184" s="14">
        <v>0</v>
      </c>
      <c r="BE184" s="14">
        <v>0</v>
      </c>
      <c r="BF184" s="14">
        <v>0</v>
      </c>
      <c r="BG184" s="14">
        <v>0</v>
      </c>
      <c r="BH184" s="14">
        <v>0</v>
      </c>
      <c r="BI184" s="14">
        <v>2</v>
      </c>
      <c r="BJ184" s="14">
        <v>5</v>
      </c>
      <c r="BK184" s="14">
        <v>0</v>
      </c>
      <c r="BL184" s="14">
        <v>0</v>
      </c>
      <c r="BM184" s="17">
        <v>0</v>
      </c>
      <c r="BN184" s="18">
        <v>0</v>
      </c>
      <c r="BO184" s="8" t="s">
        <v>39</v>
      </c>
    </row>
    <row r="185" spans="1:67" ht="15.75">
      <c r="A185" s="8" t="s">
        <v>263</v>
      </c>
      <c r="B185" s="16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6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5">
        <v>0</v>
      </c>
      <c r="AL185" s="16">
        <v>0</v>
      </c>
      <c r="AM185" s="14">
        <v>0</v>
      </c>
      <c r="AN185" s="16">
        <v>0</v>
      </c>
      <c r="AO185" s="14">
        <v>0</v>
      </c>
      <c r="AP185" s="14">
        <v>0</v>
      </c>
      <c r="AQ185" s="14">
        <v>0</v>
      </c>
      <c r="AR185" s="14">
        <v>0</v>
      </c>
      <c r="AS185" s="14">
        <v>0</v>
      </c>
      <c r="AT185" s="16">
        <v>0</v>
      </c>
      <c r="AU185" s="14">
        <v>0</v>
      </c>
      <c r="AV185" s="14">
        <v>0</v>
      </c>
      <c r="AW185" s="14">
        <v>0</v>
      </c>
      <c r="AX185" s="16">
        <v>1</v>
      </c>
      <c r="AY185" s="14">
        <v>800</v>
      </c>
      <c r="AZ185" s="15">
        <v>1600</v>
      </c>
      <c r="BA185" s="16">
        <v>1</v>
      </c>
      <c r="BB185" s="14">
        <v>0</v>
      </c>
      <c r="BC185" s="14">
        <v>0</v>
      </c>
      <c r="BD185" s="14">
        <v>0</v>
      </c>
      <c r="BE185" s="14">
        <v>0</v>
      </c>
      <c r="BF185" s="14">
        <v>0</v>
      </c>
      <c r="BG185" s="14">
        <v>0</v>
      </c>
      <c r="BH185" s="14">
        <v>0</v>
      </c>
      <c r="BI185" s="14">
        <v>0</v>
      </c>
      <c r="BJ185" s="14">
        <v>1</v>
      </c>
      <c r="BK185" s="14">
        <v>0</v>
      </c>
      <c r="BL185" s="14">
        <v>0</v>
      </c>
      <c r="BM185" s="17">
        <v>0</v>
      </c>
      <c r="BN185" s="18">
        <v>0</v>
      </c>
      <c r="BO185" s="8" t="s">
        <v>39</v>
      </c>
    </row>
    <row r="186" spans="1:67" ht="15.75">
      <c r="A186" s="8" t="s">
        <v>264</v>
      </c>
      <c r="B186" s="16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6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15">
        <v>0</v>
      </c>
      <c r="AL186" s="16">
        <v>0</v>
      </c>
      <c r="AM186" s="14">
        <v>0</v>
      </c>
      <c r="AN186" s="16">
        <v>0</v>
      </c>
      <c r="AO186" s="14">
        <v>0</v>
      </c>
      <c r="AP186" s="14">
        <v>0</v>
      </c>
      <c r="AQ186" s="14">
        <v>0</v>
      </c>
      <c r="AR186" s="14">
        <v>0</v>
      </c>
      <c r="AS186" s="14">
        <v>0</v>
      </c>
      <c r="AT186" s="16">
        <v>0</v>
      </c>
      <c r="AU186" s="14">
        <v>0</v>
      </c>
      <c r="AV186" s="14">
        <v>0</v>
      </c>
      <c r="AW186" s="14">
        <v>0</v>
      </c>
      <c r="AX186" s="16">
        <v>1</v>
      </c>
      <c r="AY186" s="14">
        <v>950</v>
      </c>
      <c r="AZ186" s="15">
        <v>1900</v>
      </c>
      <c r="BA186" s="16">
        <v>1</v>
      </c>
      <c r="BB186" s="14">
        <v>0</v>
      </c>
      <c r="BC186" s="14">
        <v>0</v>
      </c>
      <c r="BD186" s="14">
        <v>0</v>
      </c>
      <c r="BE186" s="14">
        <v>0</v>
      </c>
      <c r="BF186" s="14">
        <v>0</v>
      </c>
      <c r="BG186" s="14">
        <v>0</v>
      </c>
      <c r="BH186" s="14">
        <v>0</v>
      </c>
      <c r="BI186" s="14">
        <v>0</v>
      </c>
      <c r="BJ186" s="14">
        <v>1</v>
      </c>
      <c r="BK186" s="14">
        <v>0</v>
      </c>
      <c r="BL186" s="14">
        <v>0</v>
      </c>
      <c r="BM186" s="17">
        <v>0</v>
      </c>
      <c r="BN186" s="18">
        <v>0</v>
      </c>
      <c r="BO186" s="8" t="s">
        <v>39</v>
      </c>
    </row>
    <row r="187" spans="1:67" ht="15.75">
      <c r="A187" s="8" t="s">
        <v>265</v>
      </c>
      <c r="B187" s="16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6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5">
        <v>0</v>
      </c>
      <c r="AL187" s="16">
        <v>0</v>
      </c>
      <c r="AM187" s="14">
        <v>0</v>
      </c>
      <c r="AN187" s="16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6">
        <v>0</v>
      </c>
      <c r="AU187" s="14">
        <v>0</v>
      </c>
      <c r="AV187" s="14">
        <v>0</v>
      </c>
      <c r="AW187" s="14">
        <v>0</v>
      </c>
      <c r="AX187" s="16">
        <v>1</v>
      </c>
      <c r="AY187" s="14">
        <v>300</v>
      </c>
      <c r="AZ187" s="15">
        <v>600</v>
      </c>
      <c r="BA187" s="16">
        <v>0</v>
      </c>
      <c r="BB187" s="14">
        <v>0</v>
      </c>
      <c r="BC187" s="14">
        <v>0</v>
      </c>
      <c r="BD187" s="14">
        <v>0</v>
      </c>
      <c r="BE187" s="14">
        <v>0</v>
      </c>
      <c r="BF187" s="14">
        <v>0</v>
      </c>
      <c r="BG187" s="14">
        <v>0</v>
      </c>
      <c r="BH187" s="14">
        <v>0</v>
      </c>
      <c r="BI187" s="14">
        <v>1</v>
      </c>
      <c r="BJ187" s="14">
        <v>0</v>
      </c>
      <c r="BK187" s="14">
        <v>0</v>
      </c>
      <c r="BL187" s="14">
        <v>0</v>
      </c>
      <c r="BM187" s="17">
        <v>0</v>
      </c>
      <c r="BN187" s="18">
        <v>0</v>
      </c>
      <c r="BO187" s="8" t="s">
        <v>39</v>
      </c>
    </row>
    <row r="188" spans="1:67" ht="15.75">
      <c r="A188" s="8" t="s">
        <v>39</v>
      </c>
      <c r="B188" s="16">
        <v>6</v>
      </c>
      <c r="C188" s="14">
        <v>47200</v>
      </c>
      <c r="D188" s="14">
        <v>7</v>
      </c>
      <c r="E188" s="14">
        <v>61864</v>
      </c>
      <c r="F188" s="14">
        <v>3</v>
      </c>
      <c r="G188" s="14">
        <v>131</v>
      </c>
      <c r="H188" s="14">
        <v>2</v>
      </c>
      <c r="I188" s="14">
        <v>457</v>
      </c>
      <c r="J188" s="14">
        <v>1</v>
      </c>
      <c r="K188" s="14">
        <v>2300</v>
      </c>
      <c r="L188" s="14">
        <v>0</v>
      </c>
      <c r="M188" s="14">
        <v>0</v>
      </c>
      <c r="N188" s="14">
        <v>1</v>
      </c>
      <c r="O188" s="14">
        <v>300</v>
      </c>
      <c r="P188" s="14">
        <v>0</v>
      </c>
      <c r="Q188" s="14">
        <v>0</v>
      </c>
      <c r="R188" s="16" t="s">
        <v>115</v>
      </c>
      <c r="S188" s="14">
        <v>2000000</v>
      </c>
      <c r="T188" s="14" t="s">
        <v>115</v>
      </c>
      <c r="U188" s="14" t="s">
        <v>115</v>
      </c>
      <c r="V188" s="14" t="s">
        <v>117</v>
      </c>
      <c r="W188" s="14" t="s">
        <v>115</v>
      </c>
      <c r="X188" s="14" t="s">
        <v>115</v>
      </c>
      <c r="Y188" s="14" t="s">
        <v>115</v>
      </c>
      <c r="Z188" s="14" t="s">
        <v>115</v>
      </c>
      <c r="AA188" s="14" t="s">
        <v>115</v>
      </c>
      <c r="AB188" s="14" t="s">
        <v>115</v>
      </c>
      <c r="AC188" s="14" t="s">
        <v>115</v>
      </c>
      <c r="AD188" s="14" t="s">
        <v>115</v>
      </c>
      <c r="AE188" s="14" t="s">
        <v>115</v>
      </c>
      <c r="AF188" s="14" t="s">
        <v>115</v>
      </c>
      <c r="AG188" s="14" t="s">
        <v>115</v>
      </c>
      <c r="AH188" s="14" t="s">
        <v>115</v>
      </c>
      <c r="AI188" s="14" t="s">
        <v>115</v>
      </c>
      <c r="AJ188" s="14" t="s">
        <v>115</v>
      </c>
      <c r="AK188" s="14" t="s">
        <v>115</v>
      </c>
      <c r="AL188" s="16">
        <v>2</v>
      </c>
      <c r="AM188" s="14">
        <v>141506</v>
      </c>
      <c r="AN188" s="16">
        <v>7</v>
      </c>
      <c r="AO188" s="14">
        <v>8</v>
      </c>
      <c r="AP188" s="14">
        <v>2</v>
      </c>
      <c r="AQ188" s="14">
        <v>15</v>
      </c>
      <c r="AR188" s="14">
        <v>18</v>
      </c>
      <c r="AS188" s="14">
        <v>25</v>
      </c>
      <c r="AT188" s="16">
        <v>62</v>
      </c>
      <c r="AU188" s="14">
        <v>25</v>
      </c>
      <c r="AV188" s="14">
        <v>935</v>
      </c>
      <c r="AW188" s="14">
        <v>755</v>
      </c>
      <c r="AX188" s="16">
        <v>144</v>
      </c>
      <c r="AY188" s="14">
        <f>250+360.6+96.4+121.4+110+801+201+726.7+148+741+103.2+177+285.6+344.3+356.3+212.77+172.9+489.4+1003.4+219.6+132.9+573+165.4+770.7+287.1+554.6+529.6+332.2+250+100+100+343+252+190+255+100+421+151+83+290+60+330+325+195+195+408+220+195+194+130+134+444+122+180+220+60+650+320+273+158+180+140+126+250+81+100+160+273+400+720</f>
        <v>20044.07</v>
      </c>
      <c r="AZ188" s="15">
        <v>0</v>
      </c>
      <c r="BA188" s="16">
        <v>14</v>
      </c>
      <c r="BB188" s="14">
        <v>11</v>
      </c>
      <c r="BC188" s="14">
        <v>2</v>
      </c>
      <c r="BD188" s="14">
        <v>21</v>
      </c>
      <c r="BE188" s="14">
        <v>15</v>
      </c>
      <c r="BF188" s="14">
        <v>7</v>
      </c>
      <c r="BG188" s="14">
        <v>17</v>
      </c>
      <c r="BH188" s="14">
        <v>16</v>
      </c>
      <c r="BI188" s="14">
        <v>0</v>
      </c>
      <c r="BJ188" s="14">
        <v>16</v>
      </c>
      <c r="BK188" s="14">
        <v>13</v>
      </c>
      <c r="BL188" s="14">
        <v>11</v>
      </c>
      <c r="BM188" s="17">
        <v>54</v>
      </c>
      <c r="BN188" s="18">
        <v>72</v>
      </c>
      <c r="BO188" s="8" t="s">
        <v>39</v>
      </c>
    </row>
    <row r="189" spans="1:67" ht="15.75">
      <c r="A189" s="8" t="s">
        <v>40</v>
      </c>
      <c r="B189" s="16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6">
        <v>7</v>
      </c>
      <c r="S189" s="14">
        <v>800000</v>
      </c>
      <c r="T189" s="14">
        <v>4</v>
      </c>
      <c r="U189" s="14">
        <v>181693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50</v>
      </c>
      <c r="AG189" s="14">
        <v>43450</v>
      </c>
      <c r="AH189" s="14">
        <v>0</v>
      </c>
      <c r="AI189" s="14">
        <v>0</v>
      </c>
      <c r="AJ189" s="14">
        <v>20</v>
      </c>
      <c r="AK189" s="15" t="s">
        <v>115</v>
      </c>
      <c r="AL189" s="16">
        <v>0</v>
      </c>
      <c r="AM189" s="14">
        <v>0</v>
      </c>
      <c r="AN189" s="16">
        <v>0</v>
      </c>
      <c r="AO189" s="14">
        <v>0</v>
      </c>
      <c r="AP189" s="14">
        <v>0</v>
      </c>
      <c r="AQ189" s="14">
        <v>0</v>
      </c>
      <c r="AR189" s="14">
        <v>0</v>
      </c>
      <c r="AS189" s="14">
        <v>0</v>
      </c>
      <c r="AT189" s="16">
        <v>10</v>
      </c>
      <c r="AU189" s="14">
        <v>2</v>
      </c>
      <c r="AV189" s="14">
        <v>20</v>
      </c>
      <c r="AW189" s="14">
        <v>100</v>
      </c>
      <c r="AX189" s="16">
        <v>16</v>
      </c>
      <c r="AY189" s="14">
        <f>9*166+120+200+570+550+180+520+120</f>
        <v>3754</v>
      </c>
      <c r="AZ189" s="15">
        <f>9*830+2400+3700+2850+900+2600+120</f>
        <v>20040</v>
      </c>
      <c r="BA189" s="16">
        <v>2</v>
      </c>
      <c r="BB189" s="14">
        <v>1</v>
      </c>
      <c r="BC189" s="14">
        <v>0</v>
      </c>
      <c r="BD189" s="14">
        <v>9</v>
      </c>
      <c r="BE189" s="14">
        <v>7</v>
      </c>
      <c r="BF189" s="14">
        <v>0</v>
      </c>
      <c r="BG189" s="14">
        <v>9</v>
      </c>
      <c r="BH189" s="14">
        <v>7</v>
      </c>
      <c r="BI189" s="14">
        <v>1</v>
      </c>
      <c r="BJ189" s="14">
        <v>1</v>
      </c>
      <c r="BK189" s="14">
        <v>1</v>
      </c>
      <c r="BL189" s="14">
        <v>0</v>
      </c>
      <c r="BM189" s="17">
        <v>9</v>
      </c>
      <c r="BN189" s="18">
        <v>7</v>
      </c>
      <c r="BO189" s="8" t="s">
        <v>40</v>
      </c>
    </row>
    <row r="190" spans="1:67" ht="15.75">
      <c r="A190" s="8" t="s">
        <v>41</v>
      </c>
      <c r="B190" s="16">
        <v>2</v>
      </c>
      <c r="C190" s="14">
        <v>7000</v>
      </c>
      <c r="D190" s="14">
        <v>2</v>
      </c>
      <c r="E190" s="14">
        <v>24000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6" t="s">
        <v>115</v>
      </c>
      <c r="S190" s="14">
        <v>925000</v>
      </c>
      <c r="T190" s="14" t="s">
        <v>115</v>
      </c>
      <c r="U190" s="14">
        <v>230000</v>
      </c>
      <c r="V190" s="14" t="s">
        <v>117</v>
      </c>
      <c r="W190" s="14">
        <v>6</v>
      </c>
      <c r="X190" s="14">
        <v>12000</v>
      </c>
      <c r="Y190" s="14">
        <v>0</v>
      </c>
      <c r="Z190" s="14">
        <v>2</v>
      </c>
      <c r="AA190" s="14">
        <v>58000</v>
      </c>
      <c r="AB190" s="14">
        <v>2</v>
      </c>
      <c r="AC190" s="14">
        <v>22700</v>
      </c>
      <c r="AD190" s="14">
        <v>10</v>
      </c>
      <c r="AE190" s="14" t="s">
        <v>115</v>
      </c>
      <c r="AF190" s="14">
        <v>0</v>
      </c>
      <c r="AG190" s="14">
        <v>0</v>
      </c>
      <c r="AH190" s="14">
        <v>0</v>
      </c>
      <c r="AI190" s="14">
        <v>0</v>
      </c>
      <c r="AJ190" s="14" t="s">
        <v>115</v>
      </c>
      <c r="AK190" s="15">
        <v>500000</v>
      </c>
      <c r="AL190" s="16">
        <v>1</v>
      </c>
      <c r="AM190" s="14" t="s">
        <v>115</v>
      </c>
      <c r="AN190" s="16">
        <v>7</v>
      </c>
      <c r="AO190" s="14">
        <v>0</v>
      </c>
      <c r="AP190" s="14">
        <v>7</v>
      </c>
      <c r="AQ190" s="14">
        <v>47</v>
      </c>
      <c r="AR190" s="14">
        <v>12</v>
      </c>
      <c r="AS190" s="14">
        <v>0</v>
      </c>
      <c r="AT190" s="16">
        <v>6</v>
      </c>
      <c r="AU190" s="14">
        <v>1</v>
      </c>
      <c r="AV190" s="14">
        <v>0</v>
      </c>
      <c r="AW190" s="14">
        <v>0</v>
      </c>
      <c r="AX190" s="16">
        <v>65</v>
      </c>
      <c r="AY190" s="14">
        <f>151+109+115+168+239+239+185+160+137+105+106+76+105+106+150+148+134+85+154+210+243+255+325+184+210+173+200+166+180+180+195+164+167+192+158+155+154+180+200+200+222+230+395+230+167+192+158+360+345+200+360+200+280+150+180+150+141+200+216+176+450+450+450+450</f>
        <v>13115</v>
      </c>
      <c r="AZ190" s="15">
        <v>0</v>
      </c>
      <c r="BA190" s="16">
        <v>7</v>
      </c>
      <c r="BB190" s="14">
        <v>8</v>
      </c>
      <c r="BC190" s="14">
        <v>2</v>
      </c>
      <c r="BD190" s="14">
        <v>7</v>
      </c>
      <c r="BE190" s="14">
        <v>27</v>
      </c>
      <c r="BF190" s="14">
        <v>7</v>
      </c>
      <c r="BG190" s="14">
        <v>9</v>
      </c>
      <c r="BH190" s="14">
        <v>1</v>
      </c>
      <c r="BI190" s="14">
        <v>1</v>
      </c>
      <c r="BJ190" s="14">
        <v>0</v>
      </c>
      <c r="BK190" s="14">
        <v>8</v>
      </c>
      <c r="BL190" s="14">
        <v>0</v>
      </c>
      <c r="BM190" s="17">
        <v>37</v>
      </c>
      <c r="BN190" s="18">
        <v>28</v>
      </c>
      <c r="BO190" s="8" t="s">
        <v>41</v>
      </c>
    </row>
    <row r="191" spans="1:67" ht="15.75">
      <c r="A191" s="8" t="s">
        <v>266</v>
      </c>
      <c r="B191" s="16">
        <v>0</v>
      </c>
      <c r="C191" s="14">
        <v>0</v>
      </c>
      <c r="D191" s="14">
        <v>1</v>
      </c>
      <c r="E191" s="14">
        <v>6000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6">
        <v>3</v>
      </c>
      <c r="S191" s="14">
        <v>25598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0</v>
      </c>
      <c r="AK191" s="15">
        <v>0</v>
      </c>
      <c r="AL191" s="16">
        <v>0</v>
      </c>
      <c r="AM191" s="14">
        <v>0</v>
      </c>
      <c r="AN191" s="16">
        <v>0</v>
      </c>
      <c r="AO191" s="14">
        <v>0</v>
      </c>
      <c r="AP191" s="14">
        <v>0</v>
      </c>
      <c r="AQ191" s="14">
        <v>0</v>
      </c>
      <c r="AR191" s="14">
        <v>0</v>
      </c>
      <c r="AS191" s="14">
        <v>0</v>
      </c>
      <c r="AT191" s="16">
        <v>7</v>
      </c>
      <c r="AU191" s="14">
        <v>0</v>
      </c>
      <c r="AV191" s="14">
        <v>4</v>
      </c>
      <c r="AW191" s="14">
        <v>0</v>
      </c>
      <c r="AX191" s="16">
        <v>6</v>
      </c>
      <c r="AY191" s="14">
        <f>192+68+445+230+430+94</f>
        <v>1459</v>
      </c>
      <c r="AZ191" s="15">
        <f>9450+1088+12905+3330+25800+1598</f>
        <v>54171</v>
      </c>
      <c r="BA191" s="16">
        <v>2</v>
      </c>
      <c r="BB191" s="14">
        <v>0</v>
      </c>
      <c r="BC191" s="14">
        <v>0</v>
      </c>
      <c r="BD191" s="14">
        <v>2</v>
      </c>
      <c r="BE191" s="14">
        <v>2</v>
      </c>
      <c r="BF191" s="14">
        <v>0</v>
      </c>
      <c r="BG191" s="14">
        <v>2</v>
      </c>
      <c r="BH191" s="14">
        <v>4</v>
      </c>
      <c r="BI191" s="14">
        <v>2</v>
      </c>
      <c r="BJ191" s="14">
        <v>2</v>
      </c>
      <c r="BK191" s="14">
        <v>2</v>
      </c>
      <c r="BL191" s="14">
        <v>3</v>
      </c>
      <c r="BM191" s="17">
        <v>0</v>
      </c>
      <c r="BN191" s="18">
        <v>6</v>
      </c>
      <c r="BO191" s="8" t="s">
        <v>42</v>
      </c>
    </row>
    <row r="192" spans="1:67" ht="15.75">
      <c r="A192" s="8" t="s">
        <v>267</v>
      </c>
      <c r="B192" s="16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6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0</v>
      </c>
      <c r="AK192" s="15">
        <v>0</v>
      </c>
      <c r="AL192" s="16">
        <v>0</v>
      </c>
      <c r="AM192" s="14">
        <v>0</v>
      </c>
      <c r="AN192" s="16">
        <v>0</v>
      </c>
      <c r="AO192" s="14">
        <v>0</v>
      </c>
      <c r="AP192" s="14">
        <v>0</v>
      </c>
      <c r="AQ192" s="14">
        <v>0</v>
      </c>
      <c r="AR192" s="14">
        <v>0</v>
      </c>
      <c r="AS192" s="14">
        <v>0</v>
      </c>
      <c r="AT192" s="16">
        <v>0</v>
      </c>
      <c r="AU192" s="14">
        <v>0</v>
      </c>
      <c r="AV192" s="14">
        <v>0</v>
      </c>
      <c r="AW192" s="14">
        <v>0</v>
      </c>
      <c r="AX192" s="16">
        <v>3</v>
      </c>
      <c r="AY192" s="14">
        <f>172+426+528</f>
        <v>1126</v>
      </c>
      <c r="AZ192" s="15">
        <f>8622.3+6700+25000</f>
        <v>40322.3</v>
      </c>
      <c r="BA192" s="16">
        <v>0</v>
      </c>
      <c r="BB192" s="14">
        <v>0</v>
      </c>
      <c r="BC192" s="14">
        <v>0</v>
      </c>
      <c r="BD192" s="14">
        <v>0</v>
      </c>
      <c r="BE192" s="14">
        <v>0</v>
      </c>
      <c r="BF192" s="14">
        <v>0</v>
      </c>
      <c r="BG192" s="14">
        <v>0</v>
      </c>
      <c r="BH192" s="14">
        <v>0</v>
      </c>
      <c r="BI192" s="14">
        <v>0</v>
      </c>
      <c r="BJ192" s="14">
        <v>3</v>
      </c>
      <c r="BK192" s="14">
        <v>0</v>
      </c>
      <c r="BL192" s="14">
        <v>0</v>
      </c>
      <c r="BM192" s="17">
        <v>0</v>
      </c>
      <c r="BN192" s="18">
        <v>3</v>
      </c>
      <c r="BO192" s="8" t="s">
        <v>42</v>
      </c>
    </row>
    <row r="193" spans="1:67" ht="15.75">
      <c r="A193" s="8" t="s">
        <v>42</v>
      </c>
      <c r="B193" s="16">
        <v>2</v>
      </c>
      <c r="C193" s="14">
        <v>4216.62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6">
        <v>3</v>
      </c>
      <c r="S193" s="14">
        <v>481580</v>
      </c>
      <c r="T193" s="14">
        <v>343</v>
      </c>
      <c r="U193" s="14">
        <v>4541670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1</v>
      </c>
      <c r="AG193" s="14">
        <v>22995</v>
      </c>
      <c r="AH193" s="14">
        <v>0</v>
      </c>
      <c r="AI193" s="14">
        <v>0</v>
      </c>
      <c r="AJ193" s="14">
        <v>0</v>
      </c>
      <c r="AK193" s="15">
        <v>0</v>
      </c>
      <c r="AL193" s="16">
        <v>2</v>
      </c>
      <c r="AM193" s="14">
        <v>2922.18</v>
      </c>
      <c r="AN193" s="16">
        <v>7</v>
      </c>
      <c r="AO193" s="14">
        <v>17</v>
      </c>
      <c r="AP193" s="14">
        <v>0</v>
      </c>
      <c r="AQ193" s="14">
        <v>54</v>
      </c>
      <c r="AR193" s="14">
        <v>8</v>
      </c>
      <c r="AS193" s="14">
        <v>11</v>
      </c>
      <c r="AT193" s="16">
        <v>5</v>
      </c>
      <c r="AU193" s="14">
        <v>0</v>
      </c>
      <c r="AV193" s="14">
        <v>31</v>
      </c>
      <c r="AW193" s="14">
        <v>2</v>
      </c>
      <c r="AX193" s="16">
        <v>16</v>
      </c>
      <c r="AY193" s="14">
        <f>200+350+240+314+120+380+128+175+103+92+278+325+203+450+370+1780</f>
        <v>5508</v>
      </c>
      <c r="AZ193" s="15">
        <f>6070+4264+4956+20180+1683+458+2784+1980+781+405+4736+24336+46580+58610+435000</f>
        <v>612823</v>
      </c>
      <c r="BA193" s="16">
        <v>4</v>
      </c>
      <c r="BB193" s="14">
        <v>0</v>
      </c>
      <c r="BC193" s="14">
        <v>0</v>
      </c>
      <c r="BD193" s="14">
        <v>1</v>
      </c>
      <c r="BE193" s="14">
        <v>1</v>
      </c>
      <c r="BF193" s="14">
        <v>1</v>
      </c>
      <c r="BG193" s="14">
        <v>4</v>
      </c>
      <c r="BH193" s="14">
        <v>1</v>
      </c>
      <c r="BI193" s="14">
        <v>4</v>
      </c>
      <c r="BJ193" s="14">
        <v>7</v>
      </c>
      <c r="BK193" s="14">
        <v>2</v>
      </c>
      <c r="BL193" s="14">
        <v>3</v>
      </c>
      <c r="BM193" s="17">
        <v>0</v>
      </c>
      <c r="BN193" s="18">
        <v>0</v>
      </c>
      <c r="BO193" s="8" t="s">
        <v>42</v>
      </c>
    </row>
    <row r="194" spans="1:67" ht="15.75">
      <c r="A194" s="8" t="s">
        <v>268</v>
      </c>
      <c r="B194" s="16">
        <v>1</v>
      </c>
      <c r="C194" s="14">
        <v>91.64</v>
      </c>
      <c r="D194" s="14">
        <v>2</v>
      </c>
      <c r="E194" s="14">
        <v>1500</v>
      </c>
      <c r="F194" s="14">
        <v>0</v>
      </c>
      <c r="G194" s="14">
        <v>0</v>
      </c>
      <c r="H194" s="14">
        <v>2</v>
      </c>
      <c r="I194" s="14">
        <v>45</v>
      </c>
      <c r="J194" s="14">
        <v>1</v>
      </c>
      <c r="K194" s="14">
        <v>1500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6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5">
        <v>0</v>
      </c>
      <c r="AL194" s="16">
        <v>0</v>
      </c>
      <c r="AM194" s="14">
        <v>0</v>
      </c>
      <c r="AN194" s="16">
        <v>0</v>
      </c>
      <c r="AO194" s="14">
        <v>0</v>
      </c>
      <c r="AP194" s="14">
        <v>0</v>
      </c>
      <c r="AQ194" s="14">
        <v>0</v>
      </c>
      <c r="AR194" s="14">
        <v>0</v>
      </c>
      <c r="AS194" s="14">
        <v>0</v>
      </c>
      <c r="AT194" s="16">
        <v>0</v>
      </c>
      <c r="AU194" s="14">
        <v>0</v>
      </c>
      <c r="AV194" s="14">
        <v>0</v>
      </c>
      <c r="AW194" s="14">
        <v>0</v>
      </c>
      <c r="AX194" s="16">
        <v>2</v>
      </c>
      <c r="AY194" s="14">
        <f>61+90</f>
        <v>151</v>
      </c>
      <c r="AZ194" s="15">
        <f>420+630</f>
        <v>1050</v>
      </c>
      <c r="BA194" s="16">
        <v>2</v>
      </c>
      <c r="BB194" s="14">
        <v>2</v>
      </c>
      <c r="BC194" s="14">
        <v>0</v>
      </c>
      <c r="BD194" s="14">
        <v>0</v>
      </c>
      <c r="BE194" s="14">
        <v>0</v>
      </c>
      <c r="BF194" s="14">
        <v>0</v>
      </c>
      <c r="BG194" s="14">
        <v>2</v>
      </c>
      <c r="BH194" s="14">
        <v>2</v>
      </c>
      <c r="BI194" s="14">
        <v>0</v>
      </c>
      <c r="BJ194" s="14">
        <v>0</v>
      </c>
      <c r="BK194" s="14">
        <v>0</v>
      </c>
      <c r="BL194" s="14">
        <v>0</v>
      </c>
      <c r="BM194" s="17">
        <v>0</v>
      </c>
      <c r="BN194" s="18">
        <v>2</v>
      </c>
      <c r="BO194" s="8" t="s">
        <v>42</v>
      </c>
    </row>
    <row r="195" spans="1:67" ht="15.75">
      <c r="A195" s="8" t="s">
        <v>269</v>
      </c>
      <c r="B195" s="16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6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0</v>
      </c>
      <c r="AK195" s="15">
        <v>0</v>
      </c>
      <c r="AL195" s="16">
        <v>0</v>
      </c>
      <c r="AM195" s="14">
        <v>0</v>
      </c>
      <c r="AN195" s="16">
        <v>0</v>
      </c>
      <c r="AO195" s="14">
        <v>0</v>
      </c>
      <c r="AP195" s="14">
        <v>0</v>
      </c>
      <c r="AQ195" s="14">
        <v>0</v>
      </c>
      <c r="AR195" s="14">
        <v>0</v>
      </c>
      <c r="AS195" s="14">
        <v>0</v>
      </c>
      <c r="AT195" s="16">
        <v>0</v>
      </c>
      <c r="AU195" s="14">
        <v>0</v>
      </c>
      <c r="AV195" s="14">
        <v>0</v>
      </c>
      <c r="AW195" s="14">
        <v>0</v>
      </c>
      <c r="AX195" s="16">
        <v>9</v>
      </c>
      <c r="AY195" s="14">
        <f>185+288+100+80.45+60+149+260+200+480</f>
        <v>1802.45</v>
      </c>
      <c r="AZ195" s="15">
        <f>6+20+30+16.1+15+20+5</f>
        <v>112.1</v>
      </c>
      <c r="BA195" s="16">
        <v>3</v>
      </c>
      <c r="BB195" s="14">
        <v>0</v>
      </c>
      <c r="BC195" s="14">
        <v>0</v>
      </c>
      <c r="BD195" s="14">
        <v>0</v>
      </c>
      <c r="BE195" s="14">
        <v>0</v>
      </c>
      <c r="BF195" s="14">
        <v>0</v>
      </c>
      <c r="BG195" s="14">
        <v>3</v>
      </c>
      <c r="BH195" s="14">
        <v>0</v>
      </c>
      <c r="BI195" s="14">
        <v>1</v>
      </c>
      <c r="BJ195" s="14">
        <v>5</v>
      </c>
      <c r="BK195" s="14">
        <v>0</v>
      </c>
      <c r="BL195" s="14">
        <v>0</v>
      </c>
      <c r="BM195" s="17">
        <v>0</v>
      </c>
      <c r="BN195" s="18">
        <v>0</v>
      </c>
      <c r="BO195" s="8" t="s">
        <v>42</v>
      </c>
    </row>
    <row r="196" spans="1:67" ht="15.75">
      <c r="A196" s="8" t="s">
        <v>270</v>
      </c>
      <c r="B196" s="16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6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0</v>
      </c>
      <c r="AJ196" s="14">
        <v>0</v>
      </c>
      <c r="AK196" s="15">
        <v>0</v>
      </c>
      <c r="AL196" s="16">
        <v>0</v>
      </c>
      <c r="AM196" s="14">
        <v>0</v>
      </c>
      <c r="AN196" s="16">
        <v>0</v>
      </c>
      <c r="AO196" s="14">
        <v>0</v>
      </c>
      <c r="AP196" s="14">
        <v>0</v>
      </c>
      <c r="AQ196" s="14">
        <v>0</v>
      </c>
      <c r="AR196" s="14">
        <v>0</v>
      </c>
      <c r="AS196" s="14">
        <v>0</v>
      </c>
      <c r="AT196" s="16">
        <v>0</v>
      </c>
      <c r="AU196" s="14">
        <v>0</v>
      </c>
      <c r="AV196" s="14">
        <v>0</v>
      </c>
      <c r="AW196" s="14">
        <v>0</v>
      </c>
      <c r="AX196" s="16">
        <v>1</v>
      </c>
      <c r="AY196" s="14">
        <v>20</v>
      </c>
      <c r="AZ196" s="15">
        <v>0</v>
      </c>
      <c r="BA196" s="16">
        <v>0</v>
      </c>
      <c r="BB196" s="14">
        <v>0</v>
      </c>
      <c r="BC196" s="14">
        <v>0</v>
      </c>
      <c r="BD196" s="14">
        <v>0</v>
      </c>
      <c r="BE196" s="14">
        <v>0</v>
      </c>
      <c r="BF196" s="14">
        <v>0</v>
      </c>
      <c r="BG196" s="14">
        <v>0</v>
      </c>
      <c r="BH196" s="14">
        <v>0</v>
      </c>
      <c r="BI196" s="14">
        <v>0</v>
      </c>
      <c r="BJ196" s="14">
        <v>1</v>
      </c>
      <c r="BK196" s="14">
        <v>0</v>
      </c>
      <c r="BL196" s="14">
        <v>0</v>
      </c>
      <c r="BM196" s="17">
        <v>0</v>
      </c>
      <c r="BN196" s="18">
        <v>0</v>
      </c>
      <c r="BO196" s="8" t="s">
        <v>42</v>
      </c>
    </row>
    <row r="197" spans="1:67" ht="15.75">
      <c r="A197" s="8" t="s">
        <v>271</v>
      </c>
      <c r="B197" s="16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6">
        <v>2</v>
      </c>
      <c r="S197" s="14">
        <v>13349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15">
        <v>0</v>
      </c>
      <c r="AL197" s="16">
        <v>0</v>
      </c>
      <c r="AM197" s="14">
        <v>0</v>
      </c>
      <c r="AN197" s="16">
        <v>0</v>
      </c>
      <c r="AO197" s="14">
        <v>0</v>
      </c>
      <c r="AP197" s="14">
        <v>0</v>
      </c>
      <c r="AQ197" s="14">
        <v>0</v>
      </c>
      <c r="AR197" s="14">
        <v>0</v>
      </c>
      <c r="AS197" s="14">
        <v>0</v>
      </c>
      <c r="AT197" s="16">
        <v>3</v>
      </c>
      <c r="AU197" s="14">
        <v>0</v>
      </c>
      <c r="AV197" s="14">
        <v>0</v>
      </c>
      <c r="AW197" s="14">
        <v>2</v>
      </c>
      <c r="AX197" s="16">
        <v>4</v>
      </c>
      <c r="AY197" s="14">
        <f>138+330+230+388</f>
        <v>1086</v>
      </c>
      <c r="AZ197" s="15">
        <f>6900+16500+11500+19400</f>
        <v>54300</v>
      </c>
      <c r="BA197" s="16">
        <v>1</v>
      </c>
      <c r="BB197" s="14">
        <v>0</v>
      </c>
      <c r="BC197" s="14">
        <v>0</v>
      </c>
      <c r="BD197" s="14">
        <v>2</v>
      </c>
      <c r="BE197" s="14">
        <v>1</v>
      </c>
      <c r="BF197" s="14">
        <v>1</v>
      </c>
      <c r="BG197" s="14">
        <v>1</v>
      </c>
      <c r="BH197" s="14">
        <v>3</v>
      </c>
      <c r="BI197" s="14">
        <v>3</v>
      </c>
      <c r="BJ197" s="14">
        <v>1</v>
      </c>
      <c r="BK197" s="14">
        <v>0</v>
      </c>
      <c r="BL197" s="14">
        <v>0</v>
      </c>
      <c r="BM197" s="17">
        <v>0</v>
      </c>
      <c r="BN197" s="18">
        <v>0</v>
      </c>
      <c r="BO197" s="8" t="s">
        <v>42</v>
      </c>
    </row>
    <row r="198" spans="1:67" ht="15.75">
      <c r="A198" s="8" t="s">
        <v>272</v>
      </c>
      <c r="B198" s="16">
        <v>1</v>
      </c>
      <c r="C198" s="14">
        <v>200</v>
      </c>
      <c r="D198" s="14">
        <v>1</v>
      </c>
      <c r="E198" s="14">
        <v>10000</v>
      </c>
      <c r="F198" s="14">
        <v>0</v>
      </c>
      <c r="G198" s="14">
        <v>0</v>
      </c>
      <c r="H198" s="14">
        <v>1</v>
      </c>
      <c r="I198" s="14">
        <v>10</v>
      </c>
      <c r="J198" s="14">
        <v>1</v>
      </c>
      <c r="K198" s="14">
        <v>50</v>
      </c>
      <c r="L198" s="14">
        <v>0</v>
      </c>
      <c r="M198" s="14">
        <v>0</v>
      </c>
      <c r="N198" s="14">
        <v>1</v>
      </c>
      <c r="O198" s="14">
        <v>10</v>
      </c>
      <c r="P198" s="14">
        <v>0</v>
      </c>
      <c r="Q198" s="14">
        <v>0</v>
      </c>
      <c r="R198" s="16">
        <v>1</v>
      </c>
      <c r="S198" s="14">
        <v>28554</v>
      </c>
      <c r="T198" s="14">
        <v>14</v>
      </c>
      <c r="U198" s="14">
        <v>160624</v>
      </c>
      <c r="V198" s="14" t="s">
        <v>117</v>
      </c>
      <c r="W198" s="14">
        <v>0</v>
      </c>
      <c r="X198" s="14">
        <v>0</v>
      </c>
      <c r="Y198" s="14" t="s">
        <v>117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0</v>
      </c>
      <c r="AK198" s="15">
        <v>0</v>
      </c>
      <c r="AL198" s="16">
        <v>1</v>
      </c>
      <c r="AM198" s="14" t="s">
        <v>115</v>
      </c>
      <c r="AN198" s="16">
        <v>0</v>
      </c>
      <c r="AO198" s="14">
        <v>0</v>
      </c>
      <c r="AP198" s="14">
        <v>0</v>
      </c>
      <c r="AQ198" s="14">
        <v>0</v>
      </c>
      <c r="AR198" s="14">
        <v>0</v>
      </c>
      <c r="AS198" s="14">
        <v>0</v>
      </c>
      <c r="AT198" s="16">
        <v>7</v>
      </c>
      <c r="AU198" s="14">
        <v>0</v>
      </c>
      <c r="AV198" s="14">
        <v>0</v>
      </c>
      <c r="AW198" s="14">
        <v>45</v>
      </c>
      <c r="AX198" s="16">
        <v>15</v>
      </c>
      <c r="AY198" s="14">
        <f>100+284+50+20+110+50+180+160+437+460+40</f>
        <v>1891</v>
      </c>
      <c r="AZ198" s="15">
        <f>28554+2000+12260+9533+9919+31013+7219</f>
        <v>100498</v>
      </c>
      <c r="BA198" s="16">
        <v>1</v>
      </c>
      <c r="BB198" s="14">
        <v>2</v>
      </c>
      <c r="BC198" s="14">
        <v>1</v>
      </c>
      <c r="BD198" s="14">
        <v>8</v>
      </c>
      <c r="BE198" s="14">
        <v>3</v>
      </c>
      <c r="BF198" s="14">
        <v>0</v>
      </c>
      <c r="BG198" s="14">
        <v>2</v>
      </c>
      <c r="BH198" s="14">
        <v>0</v>
      </c>
      <c r="BI198" s="14">
        <v>0</v>
      </c>
      <c r="BJ198" s="14">
        <v>0</v>
      </c>
      <c r="BK198" s="14">
        <v>1</v>
      </c>
      <c r="BL198" s="14">
        <v>0</v>
      </c>
      <c r="BM198" s="17">
        <v>0</v>
      </c>
      <c r="BN198" s="18">
        <v>0</v>
      </c>
      <c r="BO198" s="8" t="s">
        <v>42</v>
      </c>
    </row>
    <row r="199" spans="1:67" ht="15.75">
      <c r="A199" s="8" t="s">
        <v>43</v>
      </c>
      <c r="B199" s="24">
        <v>1</v>
      </c>
      <c r="C199" s="24" t="s">
        <v>115</v>
      </c>
      <c r="D199" s="24">
        <v>2</v>
      </c>
      <c r="E199" s="24" t="s">
        <v>115</v>
      </c>
      <c r="F199" s="24">
        <v>0</v>
      </c>
      <c r="G199" s="24" t="s">
        <v>115</v>
      </c>
      <c r="H199" s="24">
        <v>3</v>
      </c>
      <c r="I199" s="24" t="s">
        <v>115</v>
      </c>
      <c r="J199" s="24">
        <v>1</v>
      </c>
      <c r="K199" s="24" t="s">
        <v>115</v>
      </c>
      <c r="L199" s="24">
        <v>0</v>
      </c>
      <c r="M199" s="24">
        <v>0</v>
      </c>
      <c r="N199" s="24">
        <v>1</v>
      </c>
      <c r="O199" s="24" t="s">
        <v>115</v>
      </c>
      <c r="P199" s="24">
        <v>0</v>
      </c>
      <c r="Q199" s="24">
        <v>0</v>
      </c>
      <c r="R199" s="25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24">
        <v>0</v>
      </c>
      <c r="AE199" s="24">
        <v>0</v>
      </c>
      <c r="AF199" s="24">
        <v>0</v>
      </c>
      <c r="AG199" s="24">
        <v>0</v>
      </c>
      <c r="AH199" s="24">
        <v>0</v>
      </c>
      <c r="AI199" s="24">
        <v>0</v>
      </c>
      <c r="AJ199" s="24">
        <v>0</v>
      </c>
      <c r="AK199" s="23">
        <v>0</v>
      </c>
      <c r="AL199" s="25">
        <v>0</v>
      </c>
      <c r="AM199" s="23">
        <v>0</v>
      </c>
      <c r="AN199" s="25">
        <v>0</v>
      </c>
      <c r="AO199" s="24">
        <v>0</v>
      </c>
      <c r="AP199" s="24">
        <v>0</v>
      </c>
      <c r="AQ199" s="24">
        <v>0</v>
      </c>
      <c r="AR199" s="24">
        <v>0</v>
      </c>
      <c r="AS199" s="23">
        <v>0</v>
      </c>
      <c r="AT199" s="25">
        <v>2</v>
      </c>
      <c r="AU199" s="24">
        <v>0</v>
      </c>
      <c r="AV199" s="24">
        <v>24</v>
      </c>
      <c r="AW199" s="23">
        <v>0</v>
      </c>
      <c r="AX199" s="25">
        <v>4</v>
      </c>
      <c r="AY199" s="24" t="s">
        <v>115</v>
      </c>
      <c r="AZ199" s="23" t="s">
        <v>115</v>
      </c>
      <c r="BA199" s="14">
        <v>0</v>
      </c>
      <c r="BB199" s="14">
        <v>0</v>
      </c>
      <c r="BC199" s="14">
        <v>0</v>
      </c>
      <c r="BD199" s="14">
        <v>0</v>
      </c>
      <c r="BE199" s="14">
        <v>0</v>
      </c>
      <c r="BF199" s="14">
        <v>0</v>
      </c>
      <c r="BG199" s="14">
        <v>4</v>
      </c>
      <c r="BH199" s="14">
        <v>0</v>
      </c>
      <c r="BI199" s="14">
        <v>4</v>
      </c>
      <c r="BJ199" s="14">
        <v>0</v>
      </c>
      <c r="BK199" s="14">
        <v>0</v>
      </c>
      <c r="BL199" s="14">
        <v>4</v>
      </c>
      <c r="BM199" s="17">
        <v>0</v>
      </c>
      <c r="BN199" s="18">
        <v>4</v>
      </c>
      <c r="BO199" s="8" t="s">
        <v>43</v>
      </c>
    </row>
    <row r="200" spans="1:67" ht="15.75">
      <c r="A200" s="8" t="s">
        <v>44</v>
      </c>
      <c r="B200" s="16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6">
        <v>2</v>
      </c>
      <c r="S200" s="14">
        <v>12300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5">
        <v>0</v>
      </c>
      <c r="AL200" s="16">
        <v>0</v>
      </c>
      <c r="AM200" s="14">
        <v>0</v>
      </c>
      <c r="AN200" s="16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6">
        <v>0</v>
      </c>
      <c r="AU200" s="14">
        <v>0</v>
      </c>
      <c r="AV200" s="14">
        <v>0</v>
      </c>
      <c r="AW200" s="14">
        <v>0</v>
      </c>
      <c r="AX200" s="16">
        <v>7</v>
      </c>
      <c r="AY200" s="14">
        <f>68.21+102.54+99.04+113.93+38.79+44.61+25.5</f>
        <v>492.62000000000006</v>
      </c>
      <c r="AZ200" s="15">
        <f>545.68+1845.72+1782+113.93+310.32+178.44+1275</f>
        <v>6051.089999999999</v>
      </c>
      <c r="BA200" s="16">
        <v>6</v>
      </c>
      <c r="BB200" s="14">
        <v>0</v>
      </c>
      <c r="BC200" s="14">
        <v>0</v>
      </c>
      <c r="BD200" s="14">
        <v>0</v>
      </c>
      <c r="BE200" s="14">
        <v>2</v>
      </c>
      <c r="BF200" s="14">
        <v>0</v>
      </c>
      <c r="BG200" s="14">
        <v>5</v>
      </c>
      <c r="BH200" s="14">
        <v>0</v>
      </c>
      <c r="BI200" s="14">
        <v>0</v>
      </c>
      <c r="BJ200" s="14">
        <v>0</v>
      </c>
      <c r="BK200" s="14">
        <v>0</v>
      </c>
      <c r="BL200" s="14">
        <v>0</v>
      </c>
      <c r="BM200" s="17">
        <v>0</v>
      </c>
      <c r="BN200" s="18">
        <v>7</v>
      </c>
      <c r="BO200" s="8" t="s">
        <v>44</v>
      </c>
    </row>
    <row r="201" spans="1:67" ht="15.75">
      <c r="A201" s="8" t="s">
        <v>273</v>
      </c>
      <c r="B201" s="16">
        <v>1</v>
      </c>
      <c r="C201" s="14">
        <v>100</v>
      </c>
      <c r="D201" s="14">
        <v>1</v>
      </c>
      <c r="E201" s="14">
        <v>600</v>
      </c>
      <c r="F201" s="14">
        <v>0</v>
      </c>
      <c r="G201" s="14">
        <v>0</v>
      </c>
      <c r="H201" s="14">
        <v>3</v>
      </c>
      <c r="I201" s="14">
        <v>45</v>
      </c>
      <c r="J201" s="14">
        <v>1</v>
      </c>
      <c r="K201" s="14">
        <v>30</v>
      </c>
      <c r="L201" s="14">
        <v>1</v>
      </c>
      <c r="M201" s="14">
        <v>90</v>
      </c>
      <c r="N201" s="14">
        <v>1</v>
      </c>
      <c r="O201" s="14">
        <v>65</v>
      </c>
      <c r="P201" s="14">
        <v>1</v>
      </c>
      <c r="Q201" s="14">
        <v>20</v>
      </c>
      <c r="R201" s="16">
        <v>1</v>
      </c>
      <c r="S201" s="14">
        <v>5085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5">
        <v>0</v>
      </c>
      <c r="AL201" s="16">
        <v>0</v>
      </c>
      <c r="AM201" s="14">
        <v>0</v>
      </c>
      <c r="AN201" s="16">
        <v>0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6">
        <v>0</v>
      </c>
      <c r="AU201" s="14">
        <v>0</v>
      </c>
      <c r="AV201" s="14">
        <v>0</v>
      </c>
      <c r="AW201" s="14">
        <v>0</v>
      </c>
      <c r="AX201" s="16">
        <v>6</v>
      </c>
      <c r="AY201" s="14">
        <f>76+45+67+10+10+72</f>
        <v>280</v>
      </c>
      <c r="AZ201" s="15">
        <f>1700+800+1855+762+762+765</f>
        <v>6644</v>
      </c>
      <c r="BA201" s="16">
        <v>6</v>
      </c>
      <c r="BB201" s="14">
        <v>0</v>
      </c>
      <c r="BC201" s="14">
        <v>0</v>
      </c>
      <c r="BD201" s="14">
        <v>0</v>
      </c>
      <c r="BE201" s="14">
        <v>2</v>
      </c>
      <c r="BF201" s="14">
        <v>0</v>
      </c>
      <c r="BG201" s="14">
        <v>6</v>
      </c>
      <c r="BH201" s="14">
        <v>0</v>
      </c>
      <c r="BI201" s="14">
        <v>0</v>
      </c>
      <c r="BJ201" s="14">
        <v>0</v>
      </c>
      <c r="BK201" s="14">
        <v>0</v>
      </c>
      <c r="BL201" s="14">
        <v>0</v>
      </c>
      <c r="BM201" s="17">
        <v>0</v>
      </c>
      <c r="BN201" s="18">
        <v>6</v>
      </c>
      <c r="BO201" s="8" t="s">
        <v>44</v>
      </c>
    </row>
    <row r="202" spans="1:67" ht="15.75">
      <c r="A202" s="8" t="s">
        <v>274</v>
      </c>
      <c r="B202" s="16">
        <v>1</v>
      </c>
      <c r="C202" s="14">
        <v>205</v>
      </c>
      <c r="D202" s="14">
        <v>1</v>
      </c>
      <c r="E202" s="14">
        <v>2880</v>
      </c>
      <c r="F202" s="14">
        <v>0</v>
      </c>
      <c r="G202" s="14">
        <v>0</v>
      </c>
      <c r="H202" s="14">
        <v>2</v>
      </c>
      <c r="I202" s="14">
        <v>36</v>
      </c>
      <c r="J202" s="14">
        <v>1</v>
      </c>
      <c r="K202" s="14">
        <v>30</v>
      </c>
      <c r="L202" s="14">
        <v>0</v>
      </c>
      <c r="M202" s="14">
        <v>0</v>
      </c>
      <c r="N202" s="14">
        <v>4</v>
      </c>
      <c r="O202" s="14">
        <v>60</v>
      </c>
      <c r="P202" s="14">
        <v>1</v>
      </c>
      <c r="Q202" s="14">
        <v>30</v>
      </c>
      <c r="R202" s="16">
        <v>2</v>
      </c>
      <c r="S202" s="14">
        <v>4000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0</v>
      </c>
      <c r="AK202" s="15">
        <v>0</v>
      </c>
      <c r="AL202" s="16">
        <v>0</v>
      </c>
      <c r="AM202" s="14">
        <v>0</v>
      </c>
      <c r="AN202" s="16">
        <v>0</v>
      </c>
      <c r="AO202" s="14">
        <v>0</v>
      </c>
      <c r="AP202" s="14">
        <v>0</v>
      </c>
      <c r="AQ202" s="14">
        <v>0</v>
      </c>
      <c r="AR202" s="14">
        <v>0</v>
      </c>
      <c r="AS202" s="14">
        <v>0</v>
      </c>
      <c r="AT202" s="16">
        <v>0</v>
      </c>
      <c r="AU202" s="14">
        <v>0</v>
      </c>
      <c r="AV202" s="14">
        <v>0</v>
      </c>
      <c r="AW202" s="14">
        <v>0</v>
      </c>
      <c r="AX202" s="16">
        <v>1</v>
      </c>
      <c r="AY202" s="14">
        <v>486</v>
      </c>
      <c r="AZ202" s="15">
        <v>3922</v>
      </c>
      <c r="BA202" s="16">
        <v>1</v>
      </c>
      <c r="BB202" s="14">
        <v>0</v>
      </c>
      <c r="BC202" s="14">
        <v>0</v>
      </c>
      <c r="BD202" s="14">
        <v>0</v>
      </c>
      <c r="BE202" s="14">
        <v>0</v>
      </c>
      <c r="BF202" s="14">
        <v>0</v>
      </c>
      <c r="BG202" s="14">
        <v>1</v>
      </c>
      <c r="BH202" s="14">
        <v>0</v>
      </c>
      <c r="BI202" s="14">
        <v>1</v>
      </c>
      <c r="BJ202" s="14">
        <v>0</v>
      </c>
      <c r="BK202" s="14">
        <v>0</v>
      </c>
      <c r="BL202" s="14">
        <v>0</v>
      </c>
      <c r="BM202" s="17">
        <v>0</v>
      </c>
      <c r="BN202" s="18">
        <v>1</v>
      </c>
      <c r="BO202" s="8" t="s">
        <v>44</v>
      </c>
    </row>
    <row r="203" spans="1:67" ht="15.75">
      <c r="A203" s="8" t="s">
        <v>275</v>
      </c>
      <c r="B203" s="16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1</v>
      </c>
      <c r="O203" s="14">
        <v>30</v>
      </c>
      <c r="P203" s="14">
        <v>1</v>
      </c>
      <c r="Q203" s="14">
        <v>20</v>
      </c>
      <c r="R203" s="16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0</v>
      </c>
      <c r="AK203" s="15">
        <v>0</v>
      </c>
      <c r="AL203" s="16">
        <v>0</v>
      </c>
      <c r="AM203" s="14">
        <v>0</v>
      </c>
      <c r="AN203" s="16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  <c r="AT203" s="16">
        <v>0</v>
      </c>
      <c r="AU203" s="14">
        <v>0</v>
      </c>
      <c r="AV203" s="14">
        <v>0</v>
      </c>
      <c r="AW203" s="14">
        <v>0</v>
      </c>
      <c r="AX203" s="16">
        <v>1</v>
      </c>
      <c r="AY203" s="14">
        <v>1150</v>
      </c>
      <c r="AZ203" s="15">
        <v>12000</v>
      </c>
      <c r="BA203" s="16">
        <v>1</v>
      </c>
      <c r="BB203" s="14">
        <v>0</v>
      </c>
      <c r="BC203" s="14">
        <v>0</v>
      </c>
      <c r="BD203" s="14">
        <v>0</v>
      </c>
      <c r="BE203" s="14">
        <v>0</v>
      </c>
      <c r="BF203" s="14">
        <v>0</v>
      </c>
      <c r="BG203" s="14">
        <v>0</v>
      </c>
      <c r="BH203" s="14">
        <v>0</v>
      </c>
      <c r="BI203" s="14">
        <v>1</v>
      </c>
      <c r="BJ203" s="14">
        <v>1</v>
      </c>
      <c r="BK203" s="14">
        <v>0</v>
      </c>
      <c r="BL203" s="14">
        <v>0</v>
      </c>
      <c r="BM203" s="17">
        <v>0</v>
      </c>
      <c r="BN203" s="18">
        <v>0</v>
      </c>
      <c r="BO203" s="8" t="s">
        <v>45</v>
      </c>
    </row>
    <row r="204" spans="1:67" ht="15.75">
      <c r="A204" s="8" t="s">
        <v>276</v>
      </c>
      <c r="B204" s="16">
        <v>0</v>
      </c>
      <c r="C204" s="14">
        <v>0</v>
      </c>
      <c r="D204" s="14">
        <v>2</v>
      </c>
      <c r="E204" s="14">
        <v>600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6">
        <v>2</v>
      </c>
      <c r="S204" s="14">
        <v>600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0</v>
      </c>
      <c r="AK204" s="15">
        <v>0</v>
      </c>
      <c r="AL204" s="16">
        <v>0</v>
      </c>
      <c r="AM204" s="14">
        <v>0</v>
      </c>
      <c r="AN204" s="16">
        <v>0</v>
      </c>
      <c r="AO204" s="14">
        <v>0</v>
      </c>
      <c r="AP204" s="14">
        <v>0</v>
      </c>
      <c r="AQ204" s="14">
        <v>0</v>
      </c>
      <c r="AR204" s="14">
        <v>0</v>
      </c>
      <c r="AS204" s="14">
        <v>0</v>
      </c>
      <c r="AT204" s="16">
        <v>0</v>
      </c>
      <c r="AU204" s="14">
        <v>0</v>
      </c>
      <c r="AV204" s="14">
        <v>0</v>
      </c>
      <c r="AW204" s="14">
        <v>0</v>
      </c>
      <c r="AX204" s="16">
        <v>18</v>
      </c>
      <c r="AY204" s="14">
        <f>144+144+120+96+88+150+105+52+240+240+85+100+100+100+100+80+200+90</f>
        <v>2234</v>
      </c>
      <c r="AZ204" s="15" t="s">
        <v>115</v>
      </c>
      <c r="BA204" s="16">
        <v>0</v>
      </c>
      <c r="BB204" s="14">
        <v>0</v>
      </c>
      <c r="BC204" s="14">
        <v>0</v>
      </c>
      <c r="BD204" s="14">
        <v>0</v>
      </c>
      <c r="BE204" s="14">
        <v>0</v>
      </c>
      <c r="BF204" s="14">
        <v>0</v>
      </c>
      <c r="BG204" s="14">
        <v>0</v>
      </c>
      <c r="BH204" s="14">
        <v>0</v>
      </c>
      <c r="BI204" s="14">
        <v>5</v>
      </c>
      <c r="BJ204" s="14">
        <v>13</v>
      </c>
      <c r="BK204" s="14">
        <v>1</v>
      </c>
      <c r="BL204" s="14">
        <v>1</v>
      </c>
      <c r="BM204" s="17">
        <v>0</v>
      </c>
      <c r="BN204" s="18">
        <v>0</v>
      </c>
      <c r="BO204" s="8" t="s">
        <v>45</v>
      </c>
    </row>
    <row r="205" spans="1:67" ht="15.75">
      <c r="A205" s="8" t="s">
        <v>277</v>
      </c>
      <c r="B205" s="16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6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15">
        <v>0</v>
      </c>
      <c r="AL205" s="16">
        <v>0</v>
      </c>
      <c r="AM205" s="14">
        <v>0</v>
      </c>
      <c r="AN205" s="16">
        <v>0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6">
        <v>0</v>
      </c>
      <c r="AU205" s="14">
        <v>0</v>
      </c>
      <c r="AV205" s="14">
        <v>0</v>
      </c>
      <c r="AW205" s="14">
        <v>0</v>
      </c>
      <c r="AX205" s="16">
        <v>1</v>
      </c>
      <c r="AY205" s="14">
        <v>500</v>
      </c>
      <c r="AZ205" s="15">
        <v>2500</v>
      </c>
      <c r="BA205" s="16">
        <v>0</v>
      </c>
      <c r="BB205" s="14">
        <v>0</v>
      </c>
      <c r="BC205" s="14">
        <v>0</v>
      </c>
      <c r="BD205" s="14">
        <v>0</v>
      </c>
      <c r="BE205" s="14">
        <v>0</v>
      </c>
      <c r="BF205" s="14">
        <v>0</v>
      </c>
      <c r="BG205" s="14">
        <v>0</v>
      </c>
      <c r="BH205" s="14">
        <v>0</v>
      </c>
      <c r="BI205" s="14">
        <v>1</v>
      </c>
      <c r="BJ205" s="14">
        <v>1</v>
      </c>
      <c r="BK205" s="14">
        <v>0</v>
      </c>
      <c r="BL205" s="14">
        <v>0</v>
      </c>
      <c r="BM205" s="17">
        <v>0</v>
      </c>
      <c r="BN205" s="18">
        <v>0</v>
      </c>
      <c r="BO205" s="8" t="s">
        <v>45</v>
      </c>
    </row>
    <row r="206" spans="1:67" ht="15.75">
      <c r="A206" s="8" t="s">
        <v>278</v>
      </c>
      <c r="B206" s="16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6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</v>
      </c>
      <c r="AK206" s="15">
        <v>0</v>
      </c>
      <c r="AL206" s="16">
        <v>0</v>
      </c>
      <c r="AM206" s="14">
        <v>0</v>
      </c>
      <c r="AN206" s="16">
        <v>0</v>
      </c>
      <c r="AO206" s="14">
        <v>0</v>
      </c>
      <c r="AP206" s="14">
        <v>0</v>
      </c>
      <c r="AQ206" s="14">
        <v>0</v>
      </c>
      <c r="AR206" s="14">
        <v>0</v>
      </c>
      <c r="AS206" s="14">
        <v>0</v>
      </c>
      <c r="AT206" s="16">
        <v>0</v>
      </c>
      <c r="AU206" s="14">
        <v>0</v>
      </c>
      <c r="AV206" s="14">
        <v>0</v>
      </c>
      <c r="AW206" s="14">
        <v>0</v>
      </c>
      <c r="AX206" s="16">
        <v>1</v>
      </c>
      <c r="AY206" s="14">
        <v>515</v>
      </c>
      <c r="AZ206" s="15">
        <v>250</v>
      </c>
      <c r="BA206" s="16">
        <v>0</v>
      </c>
      <c r="BB206" s="14">
        <v>0</v>
      </c>
      <c r="BC206" s="14">
        <v>0</v>
      </c>
      <c r="BD206" s="14">
        <v>0</v>
      </c>
      <c r="BE206" s="14">
        <v>0</v>
      </c>
      <c r="BF206" s="14">
        <v>0</v>
      </c>
      <c r="BG206" s="14">
        <v>0</v>
      </c>
      <c r="BH206" s="14">
        <v>0</v>
      </c>
      <c r="BI206" s="14">
        <v>0</v>
      </c>
      <c r="BJ206" s="14">
        <v>1</v>
      </c>
      <c r="BK206" s="14">
        <v>0</v>
      </c>
      <c r="BL206" s="14">
        <v>0</v>
      </c>
      <c r="BM206" s="17">
        <v>0</v>
      </c>
      <c r="BN206" s="18">
        <v>0</v>
      </c>
      <c r="BO206" s="8" t="s">
        <v>45</v>
      </c>
    </row>
    <row r="207" spans="1:67" ht="15.75">
      <c r="A207" s="8" t="s">
        <v>279</v>
      </c>
      <c r="B207" s="16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6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15">
        <v>0</v>
      </c>
      <c r="AL207" s="16">
        <v>0</v>
      </c>
      <c r="AM207" s="14">
        <v>0</v>
      </c>
      <c r="AN207" s="16">
        <v>0</v>
      </c>
      <c r="AO207" s="14">
        <v>0</v>
      </c>
      <c r="AP207" s="14">
        <v>0</v>
      </c>
      <c r="AQ207" s="14">
        <v>0</v>
      </c>
      <c r="AR207" s="14">
        <v>0</v>
      </c>
      <c r="AS207" s="14">
        <v>0</v>
      </c>
      <c r="AT207" s="16">
        <v>0</v>
      </c>
      <c r="AU207" s="14">
        <v>0</v>
      </c>
      <c r="AV207" s="14">
        <v>0</v>
      </c>
      <c r="AW207" s="14">
        <v>0</v>
      </c>
      <c r="AX207" s="16">
        <v>3</v>
      </c>
      <c r="AY207" s="14">
        <f>950+600+200</f>
        <v>1750</v>
      </c>
      <c r="AZ207" s="15">
        <f>1992+710+1332</f>
        <v>4034</v>
      </c>
      <c r="BA207" s="16">
        <v>1</v>
      </c>
      <c r="BB207" s="14">
        <v>0</v>
      </c>
      <c r="BC207" s="14">
        <v>0</v>
      </c>
      <c r="BD207" s="14">
        <v>0</v>
      </c>
      <c r="BE207" s="14">
        <v>0</v>
      </c>
      <c r="BF207" s="14">
        <v>0</v>
      </c>
      <c r="BG207" s="14">
        <v>0</v>
      </c>
      <c r="BH207" s="14">
        <v>0</v>
      </c>
      <c r="BI207" s="14">
        <v>2</v>
      </c>
      <c r="BJ207" s="14">
        <v>3</v>
      </c>
      <c r="BK207" s="14">
        <v>0</v>
      </c>
      <c r="BL207" s="14">
        <v>0</v>
      </c>
      <c r="BM207" s="17">
        <v>0</v>
      </c>
      <c r="BN207" s="18">
        <v>0</v>
      </c>
      <c r="BO207" s="8" t="s">
        <v>45</v>
      </c>
    </row>
    <row r="208" spans="1:67" ht="15.75">
      <c r="A208" s="8" t="s">
        <v>46</v>
      </c>
      <c r="B208" s="16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6">
        <v>1</v>
      </c>
      <c r="S208" s="14">
        <v>154000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4">
        <v>0</v>
      </c>
      <c r="AK208" s="15">
        <v>0</v>
      </c>
      <c r="AL208" s="16">
        <v>0</v>
      </c>
      <c r="AM208" s="14">
        <v>0</v>
      </c>
      <c r="AN208" s="16">
        <v>0</v>
      </c>
      <c r="AO208" s="14">
        <v>1</v>
      </c>
      <c r="AP208" s="14">
        <v>0</v>
      </c>
      <c r="AQ208" s="14">
        <v>1</v>
      </c>
      <c r="AR208" s="14">
        <v>0</v>
      </c>
      <c r="AS208" s="14">
        <v>0</v>
      </c>
      <c r="AT208" s="16">
        <v>3</v>
      </c>
      <c r="AU208" s="14">
        <v>2</v>
      </c>
      <c r="AV208" s="14">
        <v>0</v>
      </c>
      <c r="AW208" s="14">
        <v>3</v>
      </c>
      <c r="AX208" s="16">
        <v>10</v>
      </c>
      <c r="AY208" s="14">
        <f>140+304+440+250+344+168+200+32+110+512</f>
        <v>2500</v>
      </c>
      <c r="AZ208" s="15">
        <f>4300+6603+3463+4090+2157.4+888.49+8789</f>
        <v>30290.890000000003</v>
      </c>
      <c r="BA208" s="16">
        <v>0</v>
      </c>
      <c r="BB208" s="14">
        <v>1</v>
      </c>
      <c r="BC208" s="14">
        <v>1</v>
      </c>
      <c r="BD208" s="14">
        <v>6</v>
      </c>
      <c r="BE208" s="14">
        <v>3</v>
      </c>
      <c r="BF208" s="14">
        <v>3</v>
      </c>
      <c r="BG208" s="14">
        <v>2</v>
      </c>
      <c r="BH208" s="14">
        <v>3</v>
      </c>
      <c r="BI208" s="14">
        <v>3</v>
      </c>
      <c r="BJ208" s="14">
        <v>0</v>
      </c>
      <c r="BK208" s="14">
        <v>0</v>
      </c>
      <c r="BL208" s="14">
        <v>3</v>
      </c>
      <c r="BM208" s="17">
        <v>3</v>
      </c>
      <c r="BN208" s="18">
        <v>0</v>
      </c>
      <c r="BO208" s="8" t="s">
        <v>46</v>
      </c>
    </row>
    <row r="209" spans="1:67" ht="15.75">
      <c r="A209" s="8" t="s">
        <v>280</v>
      </c>
      <c r="B209" s="16" t="s">
        <v>115</v>
      </c>
      <c r="C209" s="14">
        <v>163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10</v>
      </c>
      <c r="O209" s="14" t="s">
        <v>115</v>
      </c>
      <c r="P209" s="14">
        <v>400</v>
      </c>
      <c r="Q209" s="14" t="s">
        <v>115</v>
      </c>
      <c r="R209" s="16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0</v>
      </c>
      <c r="AK209" s="15">
        <v>0</v>
      </c>
      <c r="AL209" s="16">
        <v>0</v>
      </c>
      <c r="AM209" s="14">
        <v>0</v>
      </c>
      <c r="AN209" s="16">
        <v>0</v>
      </c>
      <c r="AO209" s="14">
        <v>0</v>
      </c>
      <c r="AP209" s="14">
        <v>0</v>
      </c>
      <c r="AQ209" s="14">
        <v>0</v>
      </c>
      <c r="AR209" s="14">
        <v>0</v>
      </c>
      <c r="AS209" s="14">
        <v>0</v>
      </c>
      <c r="AT209" s="16">
        <v>0</v>
      </c>
      <c r="AU209" s="14">
        <v>0</v>
      </c>
      <c r="AV209" s="14">
        <v>0</v>
      </c>
      <c r="AW209" s="14">
        <v>0</v>
      </c>
      <c r="AX209" s="16">
        <v>1</v>
      </c>
      <c r="AY209" s="14">
        <v>12</v>
      </c>
      <c r="AZ209" s="15">
        <v>163</v>
      </c>
      <c r="BA209" s="16">
        <v>1</v>
      </c>
      <c r="BB209" s="14">
        <v>0</v>
      </c>
      <c r="BC209" s="14">
        <v>0</v>
      </c>
      <c r="BD209" s="14">
        <v>0</v>
      </c>
      <c r="BE209" s="14">
        <v>0</v>
      </c>
      <c r="BF209" s="14">
        <v>0</v>
      </c>
      <c r="BG209" s="14">
        <v>0</v>
      </c>
      <c r="BH209" s="14">
        <v>0</v>
      </c>
      <c r="BI209" s="14">
        <v>0</v>
      </c>
      <c r="BJ209" s="14">
        <v>0</v>
      </c>
      <c r="BK209" s="14">
        <v>0</v>
      </c>
      <c r="BL209" s="14">
        <v>0</v>
      </c>
      <c r="BM209" s="17">
        <v>0</v>
      </c>
      <c r="BN209" s="18">
        <v>0</v>
      </c>
      <c r="BO209" s="8" t="s">
        <v>47</v>
      </c>
    </row>
    <row r="210" spans="1:67" ht="15.75">
      <c r="A210" s="8" t="s">
        <v>47</v>
      </c>
      <c r="B210" s="16">
        <v>1</v>
      </c>
      <c r="C210" s="14">
        <v>490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1</v>
      </c>
      <c r="O210" s="14">
        <v>675</v>
      </c>
      <c r="P210" s="14">
        <v>2</v>
      </c>
      <c r="Q210" s="14">
        <v>6000</v>
      </c>
      <c r="R210" s="16">
        <v>7</v>
      </c>
      <c r="S210" s="14">
        <v>59500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0</v>
      </c>
      <c r="AK210" s="15">
        <v>0</v>
      </c>
      <c r="AL210" s="16">
        <v>0</v>
      </c>
      <c r="AM210" s="14">
        <v>0</v>
      </c>
      <c r="AN210" s="16">
        <v>0</v>
      </c>
      <c r="AO210" s="14">
        <v>0</v>
      </c>
      <c r="AP210" s="14">
        <v>0</v>
      </c>
      <c r="AQ210" s="14">
        <v>0</v>
      </c>
      <c r="AR210" s="14">
        <v>0</v>
      </c>
      <c r="AS210" s="14">
        <v>0</v>
      </c>
      <c r="AT210" s="16">
        <v>2</v>
      </c>
      <c r="AU210" s="14">
        <v>0</v>
      </c>
      <c r="AV210" s="14">
        <v>0</v>
      </c>
      <c r="AW210" s="14">
        <v>0</v>
      </c>
      <c r="AX210" s="16">
        <v>9</v>
      </c>
      <c r="AY210" s="14">
        <f>102+295+224+183+151+200+98+165+137</f>
        <v>1555</v>
      </c>
      <c r="AZ210" s="15">
        <f>1100+12000+10000+9000+4100+7300+20000</f>
        <v>63500</v>
      </c>
      <c r="BA210" s="16">
        <v>9</v>
      </c>
      <c r="BB210" s="14">
        <v>0</v>
      </c>
      <c r="BC210" s="14">
        <v>3</v>
      </c>
      <c r="BD210" s="14">
        <v>0</v>
      </c>
      <c r="BE210" s="14">
        <v>0</v>
      </c>
      <c r="BF210" s="14">
        <v>0</v>
      </c>
      <c r="BG210" s="14">
        <v>4</v>
      </c>
      <c r="BH210" s="14">
        <v>4</v>
      </c>
      <c r="BI210" s="14">
        <v>0</v>
      </c>
      <c r="BJ210" s="14">
        <v>0</v>
      </c>
      <c r="BK210" s="14">
        <v>0</v>
      </c>
      <c r="BL210" s="14">
        <v>0</v>
      </c>
      <c r="BM210" s="17">
        <v>8</v>
      </c>
      <c r="BN210" s="18">
        <v>2</v>
      </c>
      <c r="BO210" s="8" t="s">
        <v>47</v>
      </c>
    </row>
    <row r="211" spans="1:67" ht="15.75">
      <c r="A211" s="8" t="s">
        <v>281</v>
      </c>
      <c r="B211" s="16">
        <v>1</v>
      </c>
      <c r="C211" s="14" t="s">
        <v>115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6">
        <v>1</v>
      </c>
      <c r="S211" s="14">
        <v>25053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0</v>
      </c>
      <c r="AK211" s="15">
        <v>0</v>
      </c>
      <c r="AL211" s="16">
        <v>0</v>
      </c>
      <c r="AM211" s="14">
        <v>0</v>
      </c>
      <c r="AN211" s="16">
        <v>0</v>
      </c>
      <c r="AO211" s="14">
        <v>0</v>
      </c>
      <c r="AP211" s="14">
        <v>0</v>
      </c>
      <c r="AQ211" s="14">
        <v>0</v>
      </c>
      <c r="AR211" s="14">
        <v>0</v>
      </c>
      <c r="AS211" s="14">
        <v>0</v>
      </c>
      <c r="AT211" s="16">
        <v>0</v>
      </c>
      <c r="AU211" s="14">
        <v>0</v>
      </c>
      <c r="AV211" s="14">
        <v>0</v>
      </c>
      <c r="AW211" s="14">
        <v>0</v>
      </c>
      <c r="AX211" s="16">
        <v>5</v>
      </c>
      <c r="AY211" s="14">
        <f>5*35</f>
        <v>175</v>
      </c>
      <c r="AZ211" s="15">
        <f>5*150</f>
        <v>750</v>
      </c>
      <c r="BA211" s="16">
        <v>5</v>
      </c>
      <c r="BB211" s="14">
        <v>0</v>
      </c>
      <c r="BC211" s="14">
        <v>0</v>
      </c>
      <c r="BD211" s="14">
        <v>0</v>
      </c>
      <c r="BE211" s="14">
        <v>0</v>
      </c>
      <c r="BF211" s="14">
        <v>0</v>
      </c>
      <c r="BG211" s="14">
        <v>5</v>
      </c>
      <c r="BH211" s="14">
        <v>0</v>
      </c>
      <c r="BI211" s="14">
        <v>0</v>
      </c>
      <c r="BJ211" s="14">
        <v>0</v>
      </c>
      <c r="BK211" s="14">
        <v>0</v>
      </c>
      <c r="BL211" s="14">
        <v>0</v>
      </c>
      <c r="BM211" s="17">
        <v>0</v>
      </c>
      <c r="BN211" s="18">
        <v>5</v>
      </c>
      <c r="BO211" s="8" t="s">
        <v>47</v>
      </c>
    </row>
    <row r="212" spans="1:67" ht="15.75">
      <c r="A212" s="8" t="s">
        <v>282</v>
      </c>
      <c r="B212" s="16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6">
        <v>1</v>
      </c>
      <c r="S212" s="14">
        <v>17038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0</v>
      </c>
      <c r="AK212" s="15">
        <v>0</v>
      </c>
      <c r="AL212" s="16">
        <v>0</v>
      </c>
      <c r="AM212" s="14">
        <v>0</v>
      </c>
      <c r="AN212" s="16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  <c r="AT212" s="16">
        <v>0</v>
      </c>
      <c r="AU212" s="14">
        <v>0</v>
      </c>
      <c r="AV212" s="14">
        <v>0</v>
      </c>
      <c r="AW212" s="14">
        <v>0</v>
      </c>
      <c r="AX212" s="16">
        <v>2</v>
      </c>
      <c r="AY212" s="14">
        <v>200</v>
      </c>
      <c r="AZ212" s="15">
        <f>2319+1761</f>
        <v>4080</v>
      </c>
      <c r="BA212" s="16">
        <v>0</v>
      </c>
      <c r="BB212" s="14">
        <v>0</v>
      </c>
      <c r="BC212" s="14">
        <v>0</v>
      </c>
      <c r="BD212" s="14">
        <v>0</v>
      </c>
      <c r="BE212" s="14">
        <v>0</v>
      </c>
      <c r="BF212" s="14">
        <v>0</v>
      </c>
      <c r="BG212" s="14">
        <v>2</v>
      </c>
      <c r="BH212" s="14">
        <v>0</v>
      </c>
      <c r="BI212" s="14">
        <v>0</v>
      </c>
      <c r="BJ212" s="14">
        <v>0</v>
      </c>
      <c r="BK212" s="14">
        <v>0</v>
      </c>
      <c r="BL212" s="14">
        <v>0</v>
      </c>
      <c r="BM212" s="17">
        <v>0</v>
      </c>
      <c r="BN212" s="18">
        <v>2</v>
      </c>
      <c r="BO212" s="8" t="s">
        <v>47</v>
      </c>
    </row>
    <row r="213" spans="1:67" ht="15.75">
      <c r="A213" s="8" t="s">
        <v>283</v>
      </c>
      <c r="B213" s="16">
        <v>0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6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15">
        <v>0</v>
      </c>
      <c r="AL213" s="16">
        <v>0</v>
      </c>
      <c r="AM213" s="14">
        <v>0</v>
      </c>
      <c r="AN213" s="16">
        <v>0</v>
      </c>
      <c r="AO213" s="14">
        <v>0</v>
      </c>
      <c r="AP213" s="14">
        <v>0</v>
      </c>
      <c r="AQ213" s="14">
        <v>0</v>
      </c>
      <c r="AR213" s="14">
        <v>0</v>
      </c>
      <c r="AS213" s="14">
        <v>0</v>
      </c>
      <c r="AT213" s="16">
        <v>0</v>
      </c>
      <c r="AU213" s="14">
        <v>0</v>
      </c>
      <c r="AV213" s="14">
        <v>0</v>
      </c>
      <c r="AW213" s="14">
        <v>0</v>
      </c>
      <c r="AX213" s="16">
        <v>3</v>
      </c>
      <c r="AY213" s="14">
        <f>70+75+120</f>
        <v>265</v>
      </c>
      <c r="AZ213" s="15">
        <v>0</v>
      </c>
      <c r="BA213" s="16">
        <v>3</v>
      </c>
      <c r="BB213" s="14">
        <v>0</v>
      </c>
      <c r="BC213" s="14">
        <v>0</v>
      </c>
      <c r="BD213" s="14">
        <v>0</v>
      </c>
      <c r="BE213" s="14">
        <v>0</v>
      </c>
      <c r="BF213" s="14">
        <v>0</v>
      </c>
      <c r="BG213" s="14">
        <v>0</v>
      </c>
      <c r="BH213" s="14">
        <v>0</v>
      </c>
      <c r="BI213" s="14">
        <v>2</v>
      </c>
      <c r="BJ213" s="14">
        <v>1</v>
      </c>
      <c r="BK213" s="14">
        <v>2</v>
      </c>
      <c r="BL213" s="14">
        <v>0</v>
      </c>
      <c r="BM213" s="17">
        <v>0</v>
      </c>
      <c r="BN213" s="18">
        <v>0</v>
      </c>
      <c r="BO213" s="8" t="s">
        <v>48</v>
      </c>
    </row>
    <row r="214" spans="1:67" ht="15.75">
      <c r="A214" s="8" t="s">
        <v>48</v>
      </c>
      <c r="B214" s="16">
        <v>1</v>
      </c>
      <c r="C214" s="14">
        <v>600</v>
      </c>
      <c r="D214" s="14">
        <v>1</v>
      </c>
      <c r="E214" s="14">
        <v>1500</v>
      </c>
      <c r="F214" s="14">
        <v>1</v>
      </c>
      <c r="G214" s="14">
        <v>400</v>
      </c>
      <c r="H214" s="14">
        <v>3</v>
      </c>
      <c r="I214" s="14">
        <v>200</v>
      </c>
      <c r="J214" s="14">
        <v>0</v>
      </c>
      <c r="K214" s="14">
        <v>0</v>
      </c>
      <c r="L214" s="14">
        <v>0</v>
      </c>
      <c r="M214" s="14">
        <v>0</v>
      </c>
      <c r="N214" s="14">
        <v>1</v>
      </c>
      <c r="O214" s="14">
        <v>300</v>
      </c>
      <c r="P214" s="14">
        <v>1</v>
      </c>
      <c r="Q214" s="14">
        <v>1000</v>
      </c>
      <c r="R214" s="16" t="s">
        <v>115</v>
      </c>
      <c r="S214" s="14">
        <v>150000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1</v>
      </c>
      <c r="AA214" s="14">
        <v>52000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1</v>
      </c>
      <c r="AK214" s="15">
        <v>8500</v>
      </c>
      <c r="AL214" s="16">
        <v>0</v>
      </c>
      <c r="AM214" s="14">
        <v>0</v>
      </c>
      <c r="AN214" s="16">
        <v>2</v>
      </c>
      <c r="AO214" s="14">
        <v>0</v>
      </c>
      <c r="AP214" s="14">
        <v>0</v>
      </c>
      <c r="AQ214" s="14">
        <v>0</v>
      </c>
      <c r="AR214" s="14">
        <v>2</v>
      </c>
      <c r="AS214" s="14">
        <v>0</v>
      </c>
      <c r="AT214" s="16">
        <v>15</v>
      </c>
      <c r="AU214" s="14">
        <v>1</v>
      </c>
      <c r="AV214" s="14">
        <v>12</v>
      </c>
      <c r="AW214" s="14">
        <v>0</v>
      </c>
      <c r="AX214" s="16">
        <v>19</v>
      </c>
      <c r="AY214" s="14">
        <f>365+150+120+140+130+110+180+120+190+160+120+390+200+500+220</f>
        <v>3095</v>
      </c>
      <c r="AZ214" s="15">
        <f>30000+45000+35000+18000</f>
        <v>128000</v>
      </c>
      <c r="BA214" s="16">
        <v>6</v>
      </c>
      <c r="BB214" s="14">
        <v>0</v>
      </c>
      <c r="BC214" s="14">
        <v>0</v>
      </c>
      <c r="BD214" s="14">
        <v>1</v>
      </c>
      <c r="BE214" s="14">
        <v>3</v>
      </c>
      <c r="BF214" s="14">
        <v>0</v>
      </c>
      <c r="BG214" s="14">
        <v>10</v>
      </c>
      <c r="BH214" s="14">
        <v>0</v>
      </c>
      <c r="BI214" s="14">
        <v>3</v>
      </c>
      <c r="BJ214" s="14">
        <v>1</v>
      </c>
      <c r="BK214" s="14">
        <v>0</v>
      </c>
      <c r="BL214" s="14">
        <v>2</v>
      </c>
      <c r="BM214" s="17">
        <v>0</v>
      </c>
      <c r="BN214" s="18">
        <v>0</v>
      </c>
      <c r="BO214" s="8" t="s">
        <v>48</v>
      </c>
    </row>
    <row r="215" spans="1:67" ht="15.75">
      <c r="A215" s="8" t="s">
        <v>284</v>
      </c>
      <c r="B215" s="16">
        <v>0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6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0</v>
      </c>
      <c r="AK215" s="15">
        <v>0</v>
      </c>
      <c r="AL215" s="16">
        <v>0</v>
      </c>
      <c r="AM215" s="14">
        <v>0</v>
      </c>
      <c r="AN215" s="16">
        <v>0</v>
      </c>
      <c r="AO215" s="14">
        <v>0</v>
      </c>
      <c r="AP215" s="14">
        <v>0</v>
      </c>
      <c r="AQ215" s="14">
        <v>0</v>
      </c>
      <c r="AR215" s="14">
        <v>0</v>
      </c>
      <c r="AS215" s="14">
        <v>0</v>
      </c>
      <c r="AT215" s="16">
        <v>0</v>
      </c>
      <c r="AU215" s="14">
        <v>0</v>
      </c>
      <c r="AV215" s="14">
        <v>0</v>
      </c>
      <c r="AW215" s="14">
        <v>0</v>
      </c>
      <c r="AX215" s="16">
        <v>1</v>
      </c>
      <c r="AY215" s="14">
        <v>90</v>
      </c>
      <c r="AZ215" s="15">
        <v>0</v>
      </c>
      <c r="BA215" s="16">
        <v>0</v>
      </c>
      <c r="BB215" s="14">
        <v>0</v>
      </c>
      <c r="BC215" s="14">
        <v>0</v>
      </c>
      <c r="BD215" s="14">
        <v>0</v>
      </c>
      <c r="BE215" s="14">
        <v>0</v>
      </c>
      <c r="BF215" s="14">
        <v>0</v>
      </c>
      <c r="BG215" s="14">
        <v>0</v>
      </c>
      <c r="BH215" s="14">
        <v>0</v>
      </c>
      <c r="BI215" s="14">
        <v>1</v>
      </c>
      <c r="BJ215" s="14">
        <v>1</v>
      </c>
      <c r="BK215" s="14">
        <v>0</v>
      </c>
      <c r="BL215" s="14">
        <v>0</v>
      </c>
      <c r="BM215" s="17">
        <v>0</v>
      </c>
      <c r="BN215" s="18">
        <v>1</v>
      </c>
      <c r="BO215" s="8" t="s">
        <v>48</v>
      </c>
    </row>
    <row r="216" spans="1:67" ht="15.75">
      <c r="A216" s="8" t="s">
        <v>285</v>
      </c>
      <c r="B216" s="16">
        <v>0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6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5">
        <v>0</v>
      </c>
      <c r="AL216" s="16">
        <v>0</v>
      </c>
      <c r="AM216" s="14">
        <v>0</v>
      </c>
      <c r="AN216" s="16">
        <v>0</v>
      </c>
      <c r="AO216" s="14">
        <v>0</v>
      </c>
      <c r="AP216" s="14">
        <v>0</v>
      </c>
      <c r="AQ216" s="14">
        <v>0</v>
      </c>
      <c r="AR216" s="14">
        <v>0</v>
      </c>
      <c r="AS216" s="14">
        <v>0</v>
      </c>
      <c r="AT216" s="16">
        <v>0</v>
      </c>
      <c r="AU216" s="14">
        <v>0</v>
      </c>
      <c r="AV216" s="14">
        <v>0</v>
      </c>
      <c r="AW216" s="14">
        <v>0</v>
      </c>
      <c r="AX216" s="16">
        <v>2</v>
      </c>
      <c r="AY216" s="14">
        <f>160+80</f>
        <v>240</v>
      </c>
      <c r="AZ216" s="15">
        <v>0</v>
      </c>
      <c r="BA216" s="16">
        <v>0</v>
      </c>
      <c r="BB216" s="14">
        <v>0</v>
      </c>
      <c r="BC216" s="14">
        <v>0</v>
      </c>
      <c r="BD216" s="14">
        <v>0</v>
      </c>
      <c r="BE216" s="14">
        <v>0</v>
      </c>
      <c r="BF216" s="14">
        <v>0</v>
      </c>
      <c r="BG216" s="14">
        <v>0</v>
      </c>
      <c r="BH216" s="14">
        <v>0</v>
      </c>
      <c r="BI216" s="14">
        <v>1</v>
      </c>
      <c r="BJ216" s="14">
        <v>0</v>
      </c>
      <c r="BK216" s="14">
        <v>0</v>
      </c>
      <c r="BL216" s="14">
        <v>0</v>
      </c>
      <c r="BM216" s="17">
        <v>0</v>
      </c>
      <c r="BN216" s="18">
        <v>0</v>
      </c>
      <c r="BO216" s="8" t="s">
        <v>48</v>
      </c>
    </row>
    <row r="217" spans="1:67" ht="15.75">
      <c r="A217" s="8" t="s">
        <v>286</v>
      </c>
      <c r="B217" s="16">
        <v>0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6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0</v>
      </c>
      <c r="AK217" s="15">
        <v>0</v>
      </c>
      <c r="AL217" s="16">
        <v>0</v>
      </c>
      <c r="AM217" s="14">
        <v>0</v>
      </c>
      <c r="AN217" s="16">
        <v>0</v>
      </c>
      <c r="AO217" s="14">
        <v>0</v>
      </c>
      <c r="AP217" s="14">
        <v>0</v>
      </c>
      <c r="AQ217" s="14">
        <v>0</v>
      </c>
      <c r="AR217" s="14">
        <v>0</v>
      </c>
      <c r="AS217" s="14">
        <v>0</v>
      </c>
      <c r="AT217" s="16">
        <v>0</v>
      </c>
      <c r="AU217" s="14">
        <v>0</v>
      </c>
      <c r="AV217" s="14">
        <v>0</v>
      </c>
      <c r="AW217" s="14">
        <v>0</v>
      </c>
      <c r="AX217" s="16">
        <v>7</v>
      </c>
      <c r="AY217" s="14">
        <f>80+6+6+125+150+220+360</f>
        <v>947</v>
      </c>
      <c r="AZ217" s="15">
        <f>53000+160+157+2500+3050+4400</f>
        <v>63267</v>
      </c>
      <c r="BA217" s="16">
        <v>2</v>
      </c>
      <c r="BB217" s="14">
        <v>0</v>
      </c>
      <c r="BC217" s="14">
        <v>0</v>
      </c>
      <c r="BD217" s="14">
        <v>0</v>
      </c>
      <c r="BE217" s="14">
        <v>0</v>
      </c>
      <c r="BF217" s="14">
        <v>0</v>
      </c>
      <c r="BG217" s="14">
        <v>0</v>
      </c>
      <c r="BH217" s="14">
        <v>0</v>
      </c>
      <c r="BI217" s="14">
        <v>3</v>
      </c>
      <c r="BJ217" s="14">
        <v>3</v>
      </c>
      <c r="BK217" s="14">
        <v>0</v>
      </c>
      <c r="BL217" s="14">
        <v>2</v>
      </c>
      <c r="BM217" s="17">
        <v>0</v>
      </c>
      <c r="BN217" s="18">
        <v>0</v>
      </c>
      <c r="BO217" s="8" t="s">
        <v>48</v>
      </c>
    </row>
    <row r="218" spans="1:67" ht="15.75">
      <c r="A218" s="8" t="s">
        <v>287</v>
      </c>
      <c r="B218" s="16">
        <v>0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6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0</v>
      </c>
      <c r="AK218" s="15">
        <v>0</v>
      </c>
      <c r="AL218" s="16">
        <v>0</v>
      </c>
      <c r="AM218" s="14">
        <v>0</v>
      </c>
      <c r="AN218" s="16">
        <v>0</v>
      </c>
      <c r="AO218" s="14">
        <v>0</v>
      </c>
      <c r="AP218" s="14">
        <v>0</v>
      </c>
      <c r="AQ218" s="14">
        <v>0</v>
      </c>
      <c r="AR218" s="14">
        <v>0</v>
      </c>
      <c r="AS218" s="14">
        <v>0</v>
      </c>
      <c r="AT218" s="16">
        <v>0</v>
      </c>
      <c r="AU218" s="14">
        <v>0</v>
      </c>
      <c r="AV218" s="14">
        <v>0</v>
      </c>
      <c r="AW218" s="14">
        <v>0</v>
      </c>
      <c r="AX218" s="16">
        <v>2</v>
      </c>
      <c r="AY218" s="14">
        <f>222.9+80</f>
        <v>302.9</v>
      </c>
      <c r="AZ218" s="15">
        <f>1865+800</f>
        <v>2665</v>
      </c>
      <c r="BA218" s="16">
        <v>0</v>
      </c>
      <c r="BB218" s="14">
        <v>0</v>
      </c>
      <c r="BC218" s="14">
        <v>0</v>
      </c>
      <c r="BD218" s="14">
        <v>0</v>
      </c>
      <c r="BE218" s="14">
        <v>0</v>
      </c>
      <c r="BF218" s="14">
        <v>0</v>
      </c>
      <c r="BG218" s="14">
        <v>0</v>
      </c>
      <c r="BH218" s="14">
        <v>0</v>
      </c>
      <c r="BI218" s="14">
        <v>1</v>
      </c>
      <c r="BJ218" s="14">
        <v>2</v>
      </c>
      <c r="BK218" s="14">
        <v>0</v>
      </c>
      <c r="BL218" s="14">
        <v>0</v>
      </c>
      <c r="BM218" s="17">
        <v>0</v>
      </c>
      <c r="BN218" s="18">
        <v>0</v>
      </c>
      <c r="BO218" s="8" t="s">
        <v>48</v>
      </c>
    </row>
    <row r="219" spans="1:67" ht="15.75">
      <c r="A219" s="8" t="s">
        <v>288</v>
      </c>
      <c r="B219" s="16">
        <v>0</v>
      </c>
      <c r="C219" s="14">
        <v>0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6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15">
        <v>0</v>
      </c>
      <c r="AL219" s="16">
        <v>0</v>
      </c>
      <c r="AM219" s="14">
        <v>0</v>
      </c>
      <c r="AN219" s="16">
        <v>0</v>
      </c>
      <c r="AO219" s="14">
        <v>0</v>
      </c>
      <c r="AP219" s="14">
        <v>0</v>
      </c>
      <c r="AQ219" s="14">
        <v>0</v>
      </c>
      <c r="AR219" s="14">
        <v>0</v>
      </c>
      <c r="AS219" s="14">
        <v>0</v>
      </c>
      <c r="AT219" s="16">
        <v>0</v>
      </c>
      <c r="AU219" s="14">
        <v>0</v>
      </c>
      <c r="AV219" s="14">
        <v>0</v>
      </c>
      <c r="AW219" s="14">
        <v>0</v>
      </c>
      <c r="AX219" s="16">
        <v>1</v>
      </c>
      <c r="AY219" s="14">
        <v>67.4</v>
      </c>
      <c r="AZ219" s="15">
        <v>720</v>
      </c>
      <c r="BA219" s="16">
        <v>0</v>
      </c>
      <c r="BB219" s="14">
        <v>0</v>
      </c>
      <c r="BC219" s="14">
        <v>0</v>
      </c>
      <c r="BD219" s="14">
        <v>0</v>
      </c>
      <c r="BE219" s="14">
        <v>0</v>
      </c>
      <c r="BF219" s="14">
        <v>0</v>
      </c>
      <c r="BG219" s="14">
        <v>0</v>
      </c>
      <c r="BH219" s="14">
        <v>0</v>
      </c>
      <c r="BI219" s="14">
        <v>1</v>
      </c>
      <c r="BJ219" s="14">
        <v>1</v>
      </c>
      <c r="BK219" s="14">
        <v>0</v>
      </c>
      <c r="BL219" s="14">
        <v>0</v>
      </c>
      <c r="BM219" s="17">
        <v>0</v>
      </c>
      <c r="BN219" s="18">
        <v>0</v>
      </c>
      <c r="BO219" s="8" t="s">
        <v>48</v>
      </c>
    </row>
    <row r="220" spans="1:67" ht="15.75">
      <c r="A220" s="8" t="s">
        <v>289</v>
      </c>
      <c r="B220" s="16">
        <v>0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6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5">
        <v>0</v>
      </c>
      <c r="AL220" s="16">
        <v>0</v>
      </c>
      <c r="AM220" s="14">
        <v>0</v>
      </c>
      <c r="AN220" s="16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6">
        <v>0</v>
      </c>
      <c r="AU220" s="14">
        <v>0</v>
      </c>
      <c r="AV220" s="14">
        <v>0</v>
      </c>
      <c r="AW220" s="14">
        <v>0</v>
      </c>
      <c r="AX220" s="16">
        <v>2</v>
      </c>
      <c r="AY220" s="14">
        <f>250+80</f>
        <v>330</v>
      </c>
      <c r="AZ220" s="15">
        <v>0</v>
      </c>
      <c r="BA220" s="16">
        <v>0</v>
      </c>
      <c r="BB220" s="14">
        <v>0</v>
      </c>
      <c r="BC220" s="14">
        <v>0</v>
      </c>
      <c r="BD220" s="14">
        <v>0</v>
      </c>
      <c r="BE220" s="14">
        <v>0</v>
      </c>
      <c r="BF220" s="14">
        <v>0</v>
      </c>
      <c r="BG220" s="14">
        <v>0</v>
      </c>
      <c r="BH220" s="14">
        <v>0</v>
      </c>
      <c r="BI220" s="14">
        <v>2</v>
      </c>
      <c r="BJ220" s="14">
        <v>1</v>
      </c>
      <c r="BK220" s="14">
        <v>0</v>
      </c>
      <c r="BL220" s="14">
        <v>0</v>
      </c>
      <c r="BM220" s="17">
        <v>0</v>
      </c>
      <c r="BN220" s="18">
        <v>0</v>
      </c>
      <c r="BO220" s="8" t="s">
        <v>48</v>
      </c>
    </row>
    <row r="221" spans="1:67" ht="15.75">
      <c r="A221" s="8" t="s">
        <v>49</v>
      </c>
      <c r="B221" s="16">
        <v>0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6">
        <v>2</v>
      </c>
      <c r="S221" s="14">
        <v>300000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0</v>
      </c>
      <c r="AK221" s="15">
        <v>0</v>
      </c>
      <c r="AL221" s="16">
        <v>3</v>
      </c>
      <c r="AM221" s="14" t="s">
        <v>115</v>
      </c>
      <c r="AN221" s="16">
        <v>0</v>
      </c>
      <c r="AO221" s="14">
        <v>0</v>
      </c>
      <c r="AP221" s="14">
        <v>0</v>
      </c>
      <c r="AQ221" s="14">
        <v>0</v>
      </c>
      <c r="AR221" s="14">
        <v>0</v>
      </c>
      <c r="AS221" s="14">
        <v>0</v>
      </c>
      <c r="AT221" s="16">
        <v>0</v>
      </c>
      <c r="AU221" s="14">
        <v>0</v>
      </c>
      <c r="AV221" s="14">
        <v>0</v>
      </c>
      <c r="AW221" s="14">
        <v>0</v>
      </c>
      <c r="AX221" s="16">
        <v>12</v>
      </c>
      <c r="AY221" s="14">
        <f>610+60+215+150+1160+250+350+2000+640+900+550+850</f>
        <v>7735</v>
      </c>
      <c r="AZ221" s="15">
        <f>5490+550+2270+26436</f>
        <v>34746</v>
      </c>
      <c r="BA221" s="16">
        <v>0</v>
      </c>
      <c r="BB221" s="14">
        <v>6</v>
      </c>
      <c r="BC221" s="14">
        <v>0</v>
      </c>
      <c r="BD221" s="14">
        <v>2</v>
      </c>
      <c r="BE221" s="14">
        <v>2</v>
      </c>
      <c r="BF221" s="14">
        <v>1</v>
      </c>
      <c r="BG221" s="14">
        <v>1</v>
      </c>
      <c r="BH221" s="14">
        <v>0</v>
      </c>
      <c r="BI221" s="14">
        <v>1</v>
      </c>
      <c r="BJ221" s="14">
        <v>0</v>
      </c>
      <c r="BK221" s="14">
        <v>2</v>
      </c>
      <c r="BL221" s="14">
        <v>0</v>
      </c>
      <c r="BM221" s="17">
        <v>0</v>
      </c>
      <c r="BN221" s="18">
        <v>0</v>
      </c>
      <c r="BO221" s="8" t="s">
        <v>49</v>
      </c>
    </row>
    <row r="222" spans="1:67" ht="15.75">
      <c r="A222" s="8" t="s">
        <v>50</v>
      </c>
      <c r="B222" s="16">
        <v>0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6">
        <v>1</v>
      </c>
      <c r="S222" s="14">
        <v>15000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11</v>
      </c>
      <c r="AG222" s="14">
        <v>1522</v>
      </c>
      <c r="AH222" s="14">
        <v>0</v>
      </c>
      <c r="AI222" s="14">
        <v>0</v>
      </c>
      <c r="AJ222" s="14">
        <v>0</v>
      </c>
      <c r="AK222" s="15">
        <v>0</v>
      </c>
      <c r="AL222" s="16">
        <v>0</v>
      </c>
      <c r="AM222" s="14">
        <v>0</v>
      </c>
      <c r="AN222" s="16">
        <v>0</v>
      </c>
      <c r="AO222" s="14">
        <v>0</v>
      </c>
      <c r="AP222" s="14">
        <v>0</v>
      </c>
      <c r="AQ222" s="14">
        <v>0</v>
      </c>
      <c r="AR222" s="14">
        <v>0</v>
      </c>
      <c r="AS222" s="14">
        <v>0</v>
      </c>
      <c r="AT222" s="16">
        <v>0</v>
      </c>
      <c r="AU222" s="14">
        <v>0</v>
      </c>
      <c r="AV222" s="14">
        <v>0</v>
      </c>
      <c r="AW222" s="14">
        <v>0</v>
      </c>
      <c r="AX222" s="16">
        <v>28</v>
      </c>
      <c r="AY222" s="14">
        <f>200+200+148+210+200+135+225+150+62+27+70+350+60+50+60+140+140+30+183+51+50+50+205+90+150+20+20+50</f>
        <v>3326</v>
      </c>
      <c r="AZ222" s="15">
        <v>0</v>
      </c>
      <c r="BA222" s="16">
        <v>5</v>
      </c>
      <c r="BB222" s="14">
        <v>7</v>
      </c>
      <c r="BC222" s="14">
        <v>0</v>
      </c>
      <c r="BD222" s="14">
        <v>3</v>
      </c>
      <c r="BE222" s="14">
        <v>3</v>
      </c>
      <c r="BF222" s="14">
        <v>2</v>
      </c>
      <c r="BG222" s="14">
        <v>0</v>
      </c>
      <c r="BH222" s="14">
        <v>2</v>
      </c>
      <c r="BI222" s="14">
        <v>9</v>
      </c>
      <c r="BJ222" s="14">
        <v>4</v>
      </c>
      <c r="BK222" s="14">
        <v>0</v>
      </c>
      <c r="BL222" s="14">
        <v>0</v>
      </c>
      <c r="BM222" s="17">
        <v>0</v>
      </c>
      <c r="BN222" s="18">
        <v>28</v>
      </c>
      <c r="BO222" s="8" t="s">
        <v>50</v>
      </c>
    </row>
    <row r="223" spans="1:67" ht="15.75">
      <c r="A223" s="8" t="s">
        <v>290</v>
      </c>
      <c r="B223" s="16">
        <v>0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6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5">
        <v>0</v>
      </c>
      <c r="AL223" s="16">
        <v>0</v>
      </c>
      <c r="AM223" s="14">
        <v>0</v>
      </c>
      <c r="AN223" s="16">
        <v>0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6">
        <v>0</v>
      </c>
      <c r="AU223" s="14">
        <v>0</v>
      </c>
      <c r="AV223" s="14">
        <v>0</v>
      </c>
      <c r="AW223" s="14">
        <v>0</v>
      </c>
      <c r="AX223" s="16">
        <v>1</v>
      </c>
      <c r="AY223" s="14">
        <v>100</v>
      </c>
      <c r="AZ223" s="15">
        <v>0</v>
      </c>
      <c r="BA223" s="16">
        <v>0</v>
      </c>
      <c r="BB223" s="14">
        <v>0</v>
      </c>
      <c r="BC223" s="14">
        <v>0</v>
      </c>
      <c r="BD223" s="14">
        <v>0</v>
      </c>
      <c r="BE223" s="14">
        <v>0</v>
      </c>
      <c r="BF223" s="14">
        <v>0</v>
      </c>
      <c r="BG223" s="14">
        <v>0</v>
      </c>
      <c r="BH223" s="14">
        <v>0</v>
      </c>
      <c r="BI223" s="14">
        <v>1</v>
      </c>
      <c r="BJ223" s="14">
        <v>0</v>
      </c>
      <c r="BK223" s="14">
        <v>0</v>
      </c>
      <c r="BL223" s="14">
        <v>0</v>
      </c>
      <c r="BM223" s="17">
        <v>0</v>
      </c>
      <c r="BN223" s="18">
        <v>0</v>
      </c>
      <c r="BO223" s="8" t="s">
        <v>51</v>
      </c>
    </row>
    <row r="224" spans="1:67" ht="15.75">
      <c r="A224" s="8" t="s">
        <v>291</v>
      </c>
      <c r="B224" s="16">
        <v>0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6">
        <v>1</v>
      </c>
      <c r="S224" s="14">
        <v>1000</v>
      </c>
      <c r="T224" s="14">
        <v>6</v>
      </c>
      <c r="U224" s="14">
        <v>25000</v>
      </c>
      <c r="V224" s="14">
        <v>0</v>
      </c>
      <c r="W224" s="14">
        <v>2</v>
      </c>
      <c r="X224" s="14" t="s">
        <v>115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0</v>
      </c>
      <c r="AK224" s="15">
        <v>0</v>
      </c>
      <c r="AL224" s="16">
        <v>1</v>
      </c>
      <c r="AM224" s="14">
        <v>200</v>
      </c>
      <c r="AN224" s="16">
        <v>0</v>
      </c>
      <c r="AO224" s="14">
        <v>0</v>
      </c>
      <c r="AP224" s="14">
        <v>0</v>
      </c>
      <c r="AQ224" s="14">
        <v>0</v>
      </c>
      <c r="AR224" s="14">
        <v>0</v>
      </c>
      <c r="AS224" s="14">
        <v>0</v>
      </c>
      <c r="AT224" s="16">
        <v>3</v>
      </c>
      <c r="AU224" s="14">
        <v>0</v>
      </c>
      <c r="AV224" s="14">
        <v>0</v>
      </c>
      <c r="AW224" s="14">
        <v>1</v>
      </c>
      <c r="AX224" s="16">
        <v>15</v>
      </c>
      <c r="AY224" s="14">
        <f>105+4*90+45+60+2*135+2*120+45+60+300+400</f>
        <v>1885</v>
      </c>
      <c r="AZ224" s="15">
        <f>315+4*270+135+180+2*405+2*360+135+180+2100+1600</f>
        <v>7255</v>
      </c>
      <c r="BA224" s="16">
        <v>0</v>
      </c>
      <c r="BB224" s="14">
        <v>0</v>
      </c>
      <c r="BC224" s="14">
        <v>0</v>
      </c>
      <c r="BD224" s="14">
        <v>0</v>
      </c>
      <c r="BE224" s="14">
        <v>0</v>
      </c>
      <c r="BF224" s="14">
        <v>0</v>
      </c>
      <c r="BG224" s="14">
        <v>0</v>
      </c>
      <c r="BH224" s="14">
        <v>0</v>
      </c>
      <c r="BI224" s="14">
        <v>0</v>
      </c>
      <c r="BJ224" s="14">
        <v>15</v>
      </c>
      <c r="BK224" s="14">
        <v>0</v>
      </c>
      <c r="BL224" s="14">
        <v>0</v>
      </c>
      <c r="BM224" s="17">
        <v>0</v>
      </c>
      <c r="BN224" s="18">
        <v>0</v>
      </c>
      <c r="BO224" s="8" t="s">
        <v>51</v>
      </c>
    </row>
    <row r="225" spans="1:67" ht="15.75">
      <c r="A225" s="8" t="s">
        <v>51</v>
      </c>
      <c r="B225" s="16">
        <v>0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6">
        <v>2</v>
      </c>
      <c r="S225" s="14">
        <v>100000</v>
      </c>
      <c r="T225" s="14">
        <v>8</v>
      </c>
      <c r="U225" s="14">
        <v>87000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4">
        <v>0</v>
      </c>
      <c r="AK225" s="15">
        <v>0</v>
      </c>
      <c r="AL225" s="16">
        <v>0</v>
      </c>
      <c r="AM225" s="14">
        <v>0</v>
      </c>
      <c r="AN225" s="16">
        <v>0</v>
      </c>
      <c r="AO225" s="14">
        <v>0</v>
      </c>
      <c r="AP225" s="14">
        <v>0</v>
      </c>
      <c r="AQ225" s="14">
        <v>0</v>
      </c>
      <c r="AR225" s="14">
        <v>1</v>
      </c>
      <c r="AS225" s="14">
        <v>0</v>
      </c>
      <c r="AT225" s="16">
        <v>14</v>
      </c>
      <c r="AU225" s="14">
        <v>0</v>
      </c>
      <c r="AV225" s="14">
        <v>1</v>
      </c>
      <c r="AW225" s="14">
        <v>0</v>
      </c>
      <c r="AX225" s="16">
        <v>4</v>
      </c>
      <c r="AY225" s="14">
        <f>570+340+114+375</f>
        <v>1399</v>
      </c>
      <c r="AZ225" s="15">
        <f>32000+80000+1140+50000</f>
        <v>163140</v>
      </c>
      <c r="BA225" s="16">
        <v>1</v>
      </c>
      <c r="BB225" s="14">
        <v>0</v>
      </c>
      <c r="BC225" s="14">
        <v>0</v>
      </c>
      <c r="BD225" s="14">
        <v>1</v>
      </c>
      <c r="BE225" s="14">
        <v>1</v>
      </c>
      <c r="BF225" s="14">
        <v>1</v>
      </c>
      <c r="BG225" s="14">
        <v>1</v>
      </c>
      <c r="BH225" s="14">
        <v>2</v>
      </c>
      <c r="BI225" s="14">
        <v>3</v>
      </c>
      <c r="BJ225" s="14">
        <v>1</v>
      </c>
      <c r="BK225" s="14">
        <v>2</v>
      </c>
      <c r="BL225" s="14">
        <v>2</v>
      </c>
      <c r="BM225" s="17">
        <v>0</v>
      </c>
      <c r="BN225" s="18">
        <v>4</v>
      </c>
      <c r="BO225" s="8" t="s">
        <v>51</v>
      </c>
    </row>
    <row r="226" spans="1:67" ht="15.75">
      <c r="A226" s="8" t="s">
        <v>292</v>
      </c>
      <c r="B226" s="16">
        <v>0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6">
        <v>0</v>
      </c>
      <c r="S226" s="14">
        <v>0</v>
      </c>
      <c r="T226" s="14">
        <v>4</v>
      </c>
      <c r="U226" s="14">
        <v>57000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5">
        <v>0</v>
      </c>
      <c r="AL226" s="16">
        <v>0</v>
      </c>
      <c r="AM226" s="14">
        <v>0</v>
      </c>
      <c r="AN226" s="16">
        <v>0</v>
      </c>
      <c r="AO226" s="14">
        <v>0</v>
      </c>
      <c r="AP226" s="14">
        <v>0</v>
      </c>
      <c r="AQ226" s="14">
        <v>0</v>
      </c>
      <c r="AR226" s="14">
        <v>0</v>
      </c>
      <c r="AS226" s="14">
        <v>0</v>
      </c>
      <c r="AT226" s="16">
        <v>1</v>
      </c>
      <c r="AU226" s="14">
        <v>0</v>
      </c>
      <c r="AV226" s="14">
        <v>0</v>
      </c>
      <c r="AW226" s="14">
        <v>0</v>
      </c>
      <c r="AX226" s="16">
        <v>1</v>
      </c>
      <c r="AY226" s="14">
        <v>110</v>
      </c>
      <c r="AZ226" s="15">
        <v>2070</v>
      </c>
      <c r="BA226" s="16">
        <v>0</v>
      </c>
      <c r="BB226" s="14">
        <v>0</v>
      </c>
      <c r="BC226" s="14">
        <v>0</v>
      </c>
      <c r="BD226" s="14">
        <v>0</v>
      </c>
      <c r="BE226" s="14">
        <v>0</v>
      </c>
      <c r="BF226" s="14">
        <v>0</v>
      </c>
      <c r="BG226" s="14">
        <v>0</v>
      </c>
      <c r="BH226" s="14">
        <v>0</v>
      </c>
      <c r="BI226" s="14">
        <v>1</v>
      </c>
      <c r="BJ226" s="14">
        <v>1</v>
      </c>
      <c r="BK226" s="14">
        <v>0</v>
      </c>
      <c r="BL226" s="14">
        <v>1</v>
      </c>
      <c r="BM226" s="17">
        <v>0</v>
      </c>
      <c r="BN226" s="18">
        <v>0</v>
      </c>
      <c r="BO226" s="8" t="s">
        <v>51</v>
      </c>
    </row>
    <row r="227" spans="1:67" ht="15.75">
      <c r="A227" s="8" t="s">
        <v>52</v>
      </c>
      <c r="B227" s="16">
        <v>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6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0</v>
      </c>
      <c r="AK227" s="15">
        <v>0</v>
      </c>
      <c r="AL227" s="16">
        <v>0</v>
      </c>
      <c r="AM227" s="14">
        <v>0</v>
      </c>
      <c r="AN227" s="16">
        <v>0</v>
      </c>
      <c r="AO227" s="14">
        <v>0</v>
      </c>
      <c r="AP227" s="14">
        <v>0</v>
      </c>
      <c r="AQ227" s="14">
        <v>0</v>
      </c>
      <c r="AR227" s="14">
        <v>0</v>
      </c>
      <c r="AS227" s="14">
        <v>0</v>
      </c>
      <c r="AT227" s="16">
        <v>0</v>
      </c>
      <c r="AU227" s="14">
        <v>0</v>
      </c>
      <c r="AV227" s="14">
        <v>0</v>
      </c>
      <c r="AW227" s="14">
        <v>0</v>
      </c>
      <c r="AX227" s="16">
        <v>12</v>
      </c>
      <c r="AY227" s="14">
        <f>180+180+110+110+250+180+130+180+160+160</f>
        <v>1640</v>
      </c>
      <c r="AZ227" s="15">
        <v>0</v>
      </c>
      <c r="BA227" s="16">
        <v>0</v>
      </c>
      <c r="BB227" s="14">
        <v>3</v>
      </c>
      <c r="BC227" s="14">
        <v>5</v>
      </c>
      <c r="BD227" s="14">
        <v>0</v>
      </c>
      <c r="BE227" s="14">
        <v>0</v>
      </c>
      <c r="BF227" s="14">
        <v>0</v>
      </c>
      <c r="BG227" s="14">
        <v>0</v>
      </c>
      <c r="BH227" s="14">
        <v>0</v>
      </c>
      <c r="BI227" s="14">
        <v>1</v>
      </c>
      <c r="BJ227" s="14">
        <v>1</v>
      </c>
      <c r="BK227" s="14">
        <v>3</v>
      </c>
      <c r="BL227" s="14">
        <v>0</v>
      </c>
      <c r="BM227" s="17">
        <v>0</v>
      </c>
      <c r="BN227" s="18">
        <v>0</v>
      </c>
      <c r="BO227" s="8" t="s">
        <v>52</v>
      </c>
    </row>
    <row r="228" spans="1:67" ht="15.75">
      <c r="A228" s="8" t="s">
        <v>293</v>
      </c>
      <c r="B228" s="16">
        <v>0</v>
      </c>
      <c r="C228" s="14">
        <v>0</v>
      </c>
      <c r="D228" s="14">
        <v>1</v>
      </c>
      <c r="E228" s="14">
        <v>2000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6">
        <v>1</v>
      </c>
      <c r="S228" s="14">
        <v>2000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0</v>
      </c>
      <c r="AK228" s="15">
        <v>0</v>
      </c>
      <c r="AL228" s="16">
        <v>0</v>
      </c>
      <c r="AM228" s="14">
        <v>0</v>
      </c>
      <c r="AN228" s="16">
        <v>0</v>
      </c>
      <c r="AO228" s="14">
        <v>0</v>
      </c>
      <c r="AP228" s="14">
        <v>0</v>
      </c>
      <c r="AQ228" s="14">
        <v>0</v>
      </c>
      <c r="AR228" s="14">
        <v>0</v>
      </c>
      <c r="AS228" s="14">
        <v>0</v>
      </c>
      <c r="AT228" s="16">
        <v>0</v>
      </c>
      <c r="AU228" s="14">
        <v>0</v>
      </c>
      <c r="AV228" s="14">
        <v>0</v>
      </c>
      <c r="AW228" s="14">
        <v>8</v>
      </c>
      <c r="AX228" s="16">
        <v>5</v>
      </c>
      <c r="AY228" s="14">
        <f>135+70+120+20+20</f>
        <v>365</v>
      </c>
      <c r="AZ228" s="15">
        <f>2000+200+300+800+1800</f>
        <v>5100</v>
      </c>
      <c r="BA228" s="16">
        <v>3</v>
      </c>
      <c r="BB228" s="14">
        <v>1</v>
      </c>
      <c r="BC228" s="14">
        <v>1</v>
      </c>
      <c r="BD228" s="14">
        <v>0</v>
      </c>
      <c r="BE228" s="14">
        <v>0</v>
      </c>
      <c r="BF228" s="14">
        <v>0</v>
      </c>
      <c r="BG228" s="14">
        <v>3</v>
      </c>
      <c r="BH228" s="14">
        <v>0</v>
      </c>
      <c r="BI228" s="14">
        <v>2</v>
      </c>
      <c r="BJ228" s="14">
        <v>1</v>
      </c>
      <c r="BK228" s="14">
        <v>2</v>
      </c>
      <c r="BL228" s="14">
        <v>1</v>
      </c>
      <c r="BM228" s="17">
        <v>0</v>
      </c>
      <c r="BN228" s="18">
        <v>0</v>
      </c>
      <c r="BO228" s="8" t="s">
        <v>53</v>
      </c>
    </row>
    <row r="229" spans="1:67" ht="15.75">
      <c r="A229" s="8" t="s">
        <v>53</v>
      </c>
      <c r="B229" s="16">
        <v>1</v>
      </c>
      <c r="C229" s="14">
        <v>60</v>
      </c>
      <c r="D229" s="14">
        <v>1</v>
      </c>
      <c r="E229" s="14">
        <v>1160</v>
      </c>
      <c r="F229" s="14">
        <v>0</v>
      </c>
      <c r="G229" s="14">
        <v>0</v>
      </c>
      <c r="H229" s="14">
        <v>2</v>
      </c>
      <c r="I229" s="14">
        <v>50</v>
      </c>
      <c r="J229" s="14">
        <v>0</v>
      </c>
      <c r="K229" s="14">
        <v>0</v>
      </c>
      <c r="L229" s="14">
        <v>0</v>
      </c>
      <c r="M229" s="14">
        <v>0</v>
      </c>
      <c r="N229" s="14">
        <v>4</v>
      </c>
      <c r="O229" s="14">
        <v>40</v>
      </c>
      <c r="P229" s="14">
        <v>0</v>
      </c>
      <c r="Q229" s="14">
        <v>0</v>
      </c>
      <c r="R229" s="16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10</v>
      </c>
      <c r="AC229" s="14">
        <v>1500</v>
      </c>
      <c r="AD229" s="14">
        <v>0</v>
      </c>
      <c r="AE229" s="14">
        <v>0</v>
      </c>
      <c r="AF229" s="14">
        <v>2</v>
      </c>
      <c r="AG229" s="14">
        <v>0</v>
      </c>
      <c r="AH229" s="14">
        <v>0</v>
      </c>
      <c r="AI229" s="14">
        <v>0</v>
      </c>
      <c r="AJ229" s="14">
        <v>0</v>
      </c>
      <c r="AK229" s="15">
        <v>0</v>
      </c>
      <c r="AL229" s="16">
        <v>0</v>
      </c>
      <c r="AM229" s="14">
        <v>0</v>
      </c>
      <c r="AN229" s="16">
        <v>0</v>
      </c>
      <c r="AO229" s="14">
        <v>0</v>
      </c>
      <c r="AP229" s="14">
        <v>0</v>
      </c>
      <c r="AQ229" s="14">
        <v>0</v>
      </c>
      <c r="AR229" s="14">
        <v>0</v>
      </c>
      <c r="AS229" s="14">
        <v>0</v>
      </c>
      <c r="AT229" s="16">
        <v>5</v>
      </c>
      <c r="AU229" s="14">
        <v>0</v>
      </c>
      <c r="AV229" s="14">
        <v>0</v>
      </c>
      <c r="AW229" s="14">
        <v>8</v>
      </c>
      <c r="AX229" s="16">
        <v>4</v>
      </c>
      <c r="AY229" s="14">
        <f>250+930+14.31+387</f>
        <v>1581.31</v>
      </c>
      <c r="AZ229" s="15">
        <f>5000+27900+126+3870</f>
        <v>36896</v>
      </c>
      <c r="BA229" s="16">
        <v>2</v>
      </c>
      <c r="BB229" s="14">
        <v>1</v>
      </c>
      <c r="BC229" s="14">
        <v>1</v>
      </c>
      <c r="BD229" s="14">
        <v>1</v>
      </c>
      <c r="BE229" s="14">
        <v>2</v>
      </c>
      <c r="BF229" s="14">
        <v>0</v>
      </c>
      <c r="BG229" s="14">
        <v>2</v>
      </c>
      <c r="BH229" s="14">
        <v>1</v>
      </c>
      <c r="BI229" s="14">
        <v>2</v>
      </c>
      <c r="BJ229" s="14">
        <v>1</v>
      </c>
      <c r="BK229" s="14">
        <v>1</v>
      </c>
      <c r="BL229" s="14">
        <v>1</v>
      </c>
      <c r="BM229" s="17">
        <v>0</v>
      </c>
      <c r="BN229" s="18">
        <v>4</v>
      </c>
      <c r="BO229" s="8" t="s">
        <v>53</v>
      </c>
    </row>
    <row r="230" spans="1:67" ht="15.75">
      <c r="A230" s="8" t="s">
        <v>54</v>
      </c>
      <c r="B230" s="16">
        <v>0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6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0</v>
      </c>
      <c r="AK230" s="15">
        <v>0</v>
      </c>
      <c r="AL230" s="16">
        <v>1</v>
      </c>
      <c r="AM230" s="14">
        <v>200</v>
      </c>
      <c r="AN230" s="16">
        <v>0</v>
      </c>
      <c r="AO230" s="14">
        <v>0</v>
      </c>
      <c r="AP230" s="14">
        <v>0</v>
      </c>
      <c r="AQ230" s="14">
        <v>0</v>
      </c>
      <c r="AR230" s="14">
        <v>0</v>
      </c>
      <c r="AS230" s="14">
        <v>0</v>
      </c>
      <c r="AT230" s="16">
        <v>2</v>
      </c>
      <c r="AU230" s="14">
        <v>0</v>
      </c>
      <c r="AV230" s="14">
        <v>0</v>
      </c>
      <c r="AW230" s="14">
        <v>0</v>
      </c>
      <c r="AX230" s="16">
        <v>9</v>
      </c>
      <c r="AY230" s="14">
        <f>110+70*30+160+2*130+150+2*360+100</f>
        <v>3600</v>
      </c>
      <c r="AZ230" s="15">
        <f>565+2100+800+690+1650+680+1130+5000+400</f>
        <v>13015</v>
      </c>
      <c r="BA230" s="16">
        <v>1</v>
      </c>
      <c r="BB230" s="14">
        <v>1</v>
      </c>
      <c r="BC230" s="14">
        <v>1</v>
      </c>
      <c r="BD230" s="14">
        <v>1</v>
      </c>
      <c r="BE230" s="14">
        <v>0</v>
      </c>
      <c r="BF230" s="14">
        <v>0</v>
      </c>
      <c r="BG230" s="14">
        <v>2</v>
      </c>
      <c r="BH230" s="14">
        <v>0</v>
      </c>
      <c r="BI230" s="14">
        <v>5</v>
      </c>
      <c r="BJ230" s="14">
        <v>2</v>
      </c>
      <c r="BK230" s="14">
        <v>0</v>
      </c>
      <c r="BL230" s="14">
        <v>0</v>
      </c>
      <c r="BM230" s="17">
        <v>0</v>
      </c>
      <c r="BN230" s="18">
        <v>9</v>
      </c>
      <c r="BO230" s="8" t="s">
        <v>54</v>
      </c>
    </row>
    <row r="231" spans="1:67" ht="15.75">
      <c r="A231" s="8" t="s">
        <v>294</v>
      </c>
      <c r="B231" s="16">
        <v>0</v>
      </c>
      <c r="C231" s="14">
        <v>0</v>
      </c>
      <c r="D231" s="14">
        <v>1</v>
      </c>
      <c r="E231" s="14">
        <v>4000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6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0</v>
      </c>
      <c r="AK231" s="15">
        <v>0</v>
      </c>
      <c r="AL231" s="16">
        <v>0</v>
      </c>
      <c r="AM231" s="14">
        <v>0</v>
      </c>
      <c r="AN231" s="16">
        <v>0</v>
      </c>
      <c r="AO231" s="14">
        <v>0</v>
      </c>
      <c r="AP231" s="14">
        <v>0</v>
      </c>
      <c r="AQ231" s="14">
        <v>0</v>
      </c>
      <c r="AR231" s="14">
        <v>0</v>
      </c>
      <c r="AS231" s="14">
        <v>0</v>
      </c>
      <c r="AT231" s="16">
        <v>0</v>
      </c>
      <c r="AU231" s="14">
        <v>0</v>
      </c>
      <c r="AV231" s="14">
        <v>0</v>
      </c>
      <c r="AW231" s="14">
        <v>0</v>
      </c>
      <c r="AX231" s="16">
        <v>2</v>
      </c>
      <c r="AY231" s="14">
        <f>60+115</f>
        <v>175</v>
      </c>
      <c r="AZ231" s="15">
        <v>1200</v>
      </c>
      <c r="BA231" s="16">
        <v>2</v>
      </c>
      <c r="BB231" s="14">
        <v>0</v>
      </c>
      <c r="BC231" s="14">
        <v>0</v>
      </c>
      <c r="BD231" s="14">
        <v>0</v>
      </c>
      <c r="BE231" s="14">
        <v>0</v>
      </c>
      <c r="BF231" s="14">
        <v>0</v>
      </c>
      <c r="BG231" s="14">
        <v>0</v>
      </c>
      <c r="BH231" s="14">
        <v>0</v>
      </c>
      <c r="BI231" s="14">
        <v>1</v>
      </c>
      <c r="BJ231" s="14">
        <v>1</v>
      </c>
      <c r="BK231" s="14">
        <v>1</v>
      </c>
      <c r="BL231" s="14">
        <v>0</v>
      </c>
      <c r="BM231" s="17">
        <v>0</v>
      </c>
      <c r="BN231" s="18">
        <v>0</v>
      </c>
      <c r="BO231" s="8" t="s">
        <v>55</v>
      </c>
    </row>
    <row r="232" spans="1:67" ht="15.75">
      <c r="A232" s="8" t="s">
        <v>295</v>
      </c>
      <c r="B232" s="16">
        <v>0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6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0</v>
      </c>
      <c r="AK232" s="15">
        <v>0</v>
      </c>
      <c r="AL232" s="16">
        <v>0</v>
      </c>
      <c r="AM232" s="14">
        <v>0</v>
      </c>
      <c r="AN232" s="16">
        <v>0</v>
      </c>
      <c r="AO232" s="14">
        <v>0</v>
      </c>
      <c r="AP232" s="14">
        <v>0</v>
      </c>
      <c r="AQ232" s="14">
        <v>0</v>
      </c>
      <c r="AR232" s="14">
        <v>0</v>
      </c>
      <c r="AS232" s="14">
        <v>0</v>
      </c>
      <c r="AT232" s="16">
        <v>0</v>
      </c>
      <c r="AU232" s="14">
        <v>0</v>
      </c>
      <c r="AV232" s="14">
        <v>0</v>
      </c>
      <c r="AW232" s="14">
        <v>0</v>
      </c>
      <c r="AX232" s="16">
        <v>5</v>
      </c>
      <c r="AY232" s="14">
        <f>50+130+130+1700</f>
        <v>2010</v>
      </c>
      <c r="AZ232" s="15">
        <v>0</v>
      </c>
      <c r="BA232" s="16">
        <v>1</v>
      </c>
      <c r="BB232" s="14">
        <v>0</v>
      </c>
      <c r="BC232" s="14">
        <v>1</v>
      </c>
      <c r="BD232" s="14">
        <v>1</v>
      </c>
      <c r="BE232" s="14">
        <v>1</v>
      </c>
      <c r="BF232" s="14">
        <v>0</v>
      </c>
      <c r="BG232" s="14">
        <v>0</v>
      </c>
      <c r="BH232" s="14">
        <v>0</v>
      </c>
      <c r="BI232" s="14">
        <v>3</v>
      </c>
      <c r="BJ232" s="14">
        <v>3</v>
      </c>
      <c r="BK232" s="14">
        <v>0</v>
      </c>
      <c r="BL232" s="14">
        <v>0</v>
      </c>
      <c r="BM232" s="17">
        <v>0</v>
      </c>
      <c r="BN232" s="18">
        <v>0</v>
      </c>
      <c r="BO232" s="8" t="s">
        <v>55</v>
      </c>
    </row>
    <row r="233" spans="1:67" ht="15.75">
      <c r="A233" s="8" t="s">
        <v>296</v>
      </c>
      <c r="B233" s="16">
        <v>2</v>
      </c>
      <c r="C233" s="14">
        <v>800</v>
      </c>
      <c r="D233" s="14">
        <v>1</v>
      </c>
      <c r="E233" s="14">
        <v>1000</v>
      </c>
      <c r="F233" s="14">
        <v>0</v>
      </c>
      <c r="G233" s="14">
        <v>0</v>
      </c>
      <c r="H233" s="14">
        <v>3</v>
      </c>
      <c r="I233" s="14">
        <v>50</v>
      </c>
      <c r="J233" s="14">
        <v>2</v>
      </c>
      <c r="K233" s="14">
        <v>100</v>
      </c>
      <c r="L233" s="14">
        <v>0</v>
      </c>
      <c r="M233" s="14">
        <v>0</v>
      </c>
      <c r="N233" s="14">
        <v>3</v>
      </c>
      <c r="O233" s="14">
        <v>50</v>
      </c>
      <c r="P233" s="14">
        <v>2</v>
      </c>
      <c r="Q233" s="14">
        <v>50</v>
      </c>
      <c r="R233" s="16">
        <v>2</v>
      </c>
      <c r="S233" s="14">
        <v>12000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5">
        <v>0</v>
      </c>
      <c r="AL233" s="16">
        <v>0</v>
      </c>
      <c r="AM233" s="14">
        <v>0</v>
      </c>
      <c r="AN233" s="16">
        <v>0</v>
      </c>
      <c r="AO233" s="14">
        <v>0</v>
      </c>
      <c r="AP233" s="14">
        <v>0</v>
      </c>
      <c r="AQ233" s="14">
        <v>0</v>
      </c>
      <c r="AR233" s="14">
        <v>0</v>
      </c>
      <c r="AS233" s="14">
        <v>0</v>
      </c>
      <c r="AT233" s="16">
        <v>0</v>
      </c>
      <c r="AU233" s="14">
        <v>0</v>
      </c>
      <c r="AV233" s="14">
        <v>0</v>
      </c>
      <c r="AW233" s="14">
        <v>0</v>
      </c>
      <c r="AX233" s="16">
        <v>3</v>
      </c>
      <c r="AY233" s="14">
        <f>100+96+54</f>
        <v>250</v>
      </c>
      <c r="AZ233" s="15">
        <v>0</v>
      </c>
      <c r="BA233" s="16">
        <v>1</v>
      </c>
      <c r="BB233" s="14">
        <v>0</v>
      </c>
      <c r="BC233" s="14">
        <v>0</v>
      </c>
      <c r="BD233" s="14">
        <v>1</v>
      </c>
      <c r="BE233" s="14">
        <v>1</v>
      </c>
      <c r="BF233" s="14">
        <v>0</v>
      </c>
      <c r="BG233" s="14">
        <v>1</v>
      </c>
      <c r="BH233" s="14">
        <v>1</v>
      </c>
      <c r="BI233" s="14">
        <v>3</v>
      </c>
      <c r="BJ233" s="14">
        <v>3</v>
      </c>
      <c r="BK233" s="14">
        <v>0</v>
      </c>
      <c r="BL233" s="14">
        <v>2</v>
      </c>
      <c r="BM233" s="17">
        <v>0</v>
      </c>
      <c r="BN233" s="18">
        <v>0</v>
      </c>
      <c r="BO233" s="8" t="s">
        <v>55</v>
      </c>
    </row>
    <row r="234" spans="1:67" ht="15.75">
      <c r="A234" s="8" t="s">
        <v>297</v>
      </c>
      <c r="B234" s="16">
        <v>0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1</v>
      </c>
      <c r="I234" s="14" t="s">
        <v>115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6">
        <v>3</v>
      </c>
      <c r="S234" s="14">
        <v>10000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0</v>
      </c>
      <c r="AK234" s="15">
        <v>0</v>
      </c>
      <c r="AL234" s="16">
        <v>0</v>
      </c>
      <c r="AM234" s="14">
        <v>0</v>
      </c>
      <c r="AN234" s="16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0</v>
      </c>
      <c r="AT234" s="16">
        <v>3</v>
      </c>
      <c r="AU234" s="14">
        <v>0</v>
      </c>
      <c r="AV234" s="14">
        <v>0</v>
      </c>
      <c r="AW234" s="14">
        <v>0</v>
      </c>
      <c r="AX234" s="16">
        <v>6</v>
      </c>
      <c r="AY234" s="14">
        <f>220+102+95+105+101+200</f>
        <v>823</v>
      </c>
      <c r="AZ234" s="15">
        <f>10000+4000+4000+4200+3500+7000</f>
        <v>32700</v>
      </c>
      <c r="BA234" s="16">
        <v>5</v>
      </c>
      <c r="BB234" s="14">
        <v>0</v>
      </c>
      <c r="BC234" s="14">
        <v>4</v>
      </c>
      <c r="BD234" s="14">
        <v>4</v>
      </c>
      <c r="BE234" s="14">
        <v>4</v>
      </c>
      <c r="BF234" s="14">
        <v>0</v>
      </c>
      <c r="BG234" s="14">
        <v>0</v>
      </c>
      <c r="BH234" s="14">
        <v>0</v>
      </c>
      <c r="BI234" s="14">
        <v>5</v>
      </c>
      <c r="BJ234" s="14">
        <v>1</v>
      </c>
      <c r="BK234" s="14">
        <v>5</v>
      </c>
      <c r="BL234" s="14">
        <v>5</v>
      </c>
      <c r="BM234" s="17">
        <v>0</v>
      </c>
      <c r="BN234" s="18">
        <v>6</v>
      </c>
      <c r="BO234" s="8" t="s">
        <v>55</v>
      </c>
    </row>
    <row r="235" spans="1:67" ht="15.75">
      <c r="A235" s="8" t="s">
        <v>298</v>
      </c>
      <c r="B235" s="16">
        <v>0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6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5">
        <v>0</v>
      </c>
      <c r="AL235" s="16">
        <v>0</v>
      </c>
      <c r="AM235" s="14">
        <v>0</v>
      </c>
      <c r="AN235" s="16">
        <v>0</v>
      </c>
      <c r="AO235" s="14">
        <v>0</v>
      </c>
      <c r="AP235" s="14">
        <v>0</v>
      </c>
      <c r="AQ235" s="14">
        <v>0</v>
      </c>
      <c r="AR235" s="14">
        <v>0</v>
      </c>
      <c r="AS235" s="14">
        <v>0</v>
      </c>
      <c r="AT235" s="16">
        <v>0</v>
      </c>
      <c r="AU235" s="14">
        <v>0</v>
      </c>
      <c r="AV235" s="14">
        <v>0</v>
      </c>
      <c r="AW235" s="14">
        <v>0</v>
      </c>
      <c r="AX235" s="16">
        <v>2</v>
      </c>
      <c r="AY235" s="14">
        <f>335+89</f>
        <v>424</v>
      </c>
      <c r="AZ235" s="15">
        <f>11744+661</f>
        <v>12405</v>
      </c>
      <c r="BA235" s="16">
        <v>0</v>
      </c>
      <c r="BB235" s="14">
        <v>0</v>
      </c>
      <c r="BC235" s="14">
        <v>0</v>
      </c>
      <c r="BD235" s="14">
        <v>0</v>
      </c>
      <c r="BE235" s="14">
        <v>0</v>
      </c>
      <c r="BF235" s="14">
        <v>0</v>
      </c>
      <c r="BG235" s="14">
        <v>0</v>
      </c>
      <c r="BH235" s="14">
        <v>0</v>
      </c>
      <c r="BI235" s="14">
        <v>0</v>
      </c>
      <c r="BJ235" s="14">
        <v>2</v>
      </c>
      <c r="BK235" s="14">
        <v>1</v>
      </c>
      <c r="BL235" s="14">
        <v>1</v>
      </c>
      <c r="BM235" s="17">
        <v>0</v>
      </c>
      <c r="BN235" s="18">
        <v>0</v>
      </c>
      <c r="BO235" s="8" t="s">
        <v>55</v>
      </c>
    </row>
    <row r="236" spans="1:67" ht="15.75">
      <c r="A236" s="8" t="s">
        <v>299</v>
      </c>
      <c r="B236" s="16">
        <v>0</v>
      </c>
      <c r="C236" s="14">
        <v>0</v>
      </c>
      <c r="D236" s="14">
        <v>1</v>
      </c>
      <c r="E236" s="14">
        <v>45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6">
        <v>0</v>
      </c>
      <c r="S236" s="14">
        <v>0</v>
      </c>
      <c r="T236" s="14">
        <v>1</v>
      </c>
      <c r="U236" s="14">
        <v>5</v>
      </c>
      <c r="V236" s="14" t="s">
        <v>117</v>
      </c>
      <c r="W236" s="14">
        <v>0</v>
      </c>
      <c r="X236" s="14">
        <v>0</v>
      </c>
      <c r="Y236" s="14" t="s">
        <v>117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0</v>
      </c>
      <c r="AK236" s="15">
        <v>0</v>
      </c>
      <c r="AL236" s="16">
        <v>0</v>
      </c>
      <c r="AM236" s="14">
        <v>0</v>
      </c>
      <c r="AN236" s="16">
        <v>0</v>
      </c>
      <c r="AO236" s="14">
        <v>0</v>
      </c>
      <c r="AP236" s="14">
        <v>0</v>
      </c>
      <c r="AQ236" s="14">
        <v>0</v>
      </c>
      <c r="AR236" s="14">
        <v>0</v>
      </c>
      <c r="AS236" s="14">
        <v>0</v>
      </c>
      <c r="AT236" s="16">
        <v>0</v>
      </c>
      <c r="AU236" s="14">
        <v>0</v>
      </c>
      <c r="AV236" s="14">
        <v>0</v>
      </c>
      <c r="AW236" s="14">
        <v>0</v>
      </c>
      <c r="AX236" s="16">
        <v>5</v>
      </c>
      <c r="AY236" s="14">
        <f>235+80+175+50+60</f>
        <v>600</v>
      </c>
      <c r="AZ236" s="15">
        <f>7426+400+875+250+480</f>
        <v>9431</v>
      </c>
      <c r="BA236" s="16">
        <v>1</v>
      </c>
      <c r="BB236" s="14">
        <v>1</v>
      </c>
      <c r="BC236" s="14">
        <v>1</v>
      </c>
      <c r="BD236" s="14">
        <v>0</v>
      </c>
      <c r="BE236" s="14">
        <v>1</v>
      </c>
      <c r="BF236" s="14">
        <v>0</v>
      </c>
      <c r="BG236" s="14">
        <v>1</v>
      </c>
      <c r="BH236" s="14">
        <v>1</v>
      </c>
      <c r="BI236" s="14">
        <v>2</v>
      </c>
      <c r="BJ236" s="14">
        <v>5</v>
      </c>
      <c r="BK236" s="14">
        <v>0</v>
      </c>
      <c r="BL236" s="14">
        <v>0</v>
      </c>
      <c r="BM236" s="17">
        <v>0</v>
      </c>
      <c r="BN236" s="18">
        <v>0</v>
      </c>
      <c r="BO236" s="8" t="s">
        <v>55</v>
      </c>
    </row>
    <row r="237" spans="1:67" ht="15.75">
      <c r="A237" s="8" t="s">
        <v>300</v>
      </c>
      <c r="B237" s="16">
        <v>0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6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0</v>
      </c>
      <c r="AK237" s="15">
        <v>0</v>
      </c>
      <c r="AL237" s="16">
        <v>0</v>
      </c>
      <c r="AM237" s="14">
        <v>0</v>
      </c>
      <c r="AN237" s="16">
        <v>0</v>
      </c>
      <c r="AO237" s="14">
        <v>0</v>
      </c>
      <c r="AP237" s="14">
        <v>0</v>
      </c>
      <c r="AQ237" s="14">
        <v>0</v>
      </c>
      <c r="AR237" s="14">
        <v>0</v>
      </c>
      <c r="AS237" s="14">
        <v>0</v>
      </c>
      <c r="AT237" s="16">
        <v>0</v>
      </c>
      <c r="AU237" s="14">
        <v>0</v>
      </c>
      <c r="AV237" s="14">
        <v>0</v>
      </c>
      <c r="AW237" s="14">
        <v>0</v>
      </c>
      <c r="AX237" s="16">
        <v>3</v>
      </c>
      <c r="AY237" s="14">
        <f>400+90+180</f>
        <v>670</v>
      </c>
      <c r="AZ237" s="15">
        <v>0</v>
      </c>
      <c r="BA237" s="16">
        <v>1</v>
      </c>
      <c r="BB237" s="14">
        <v>1</v>
      </c>
      <c r="BC237" s="14">
        <v>0</v>
      </c>
      <c r="BD237" s="14">
        <v>1</v>
      </c>
      <c r="BE237" s="14">
        <v>0</v>
      </c>
      <c r="BF237" s="14">
        <v>0</v>
      </c>
      <c r="BG237" s="14">
        <v>0</v>
      </c>
      <c r="BH237" s="14">
        <v>0</v>
      </c>
      <c r="BI237" s="14">
        <v>1</v>
      </c>
      <c r="BJ237" s="14">
        <v>1</v>
      </c>
      <c r="BK237" s="14">
        <v>0</v>
      </c>
      <c r="BL237" s="14">
        <v>0</v>
      </c>
      <c r="BM237" s="17">
        <v>0</v>
      </c>
      <c r="BN237" s="18">
        <v>0</v>
      </c>
      <c r="BO237" s="8" t="s">
        <v>55</v>
      </c>
    </row>
    <row r="238" spans="1:67" ht="15.75">
      <c r="A238" s="8" t="s">
        <v>301</v>
      </c>
      <c r="B238" s="16">
        <v>0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6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0</v>
      </c>
      <c r="AK238" s="15">
        <v>0</v>
      </c>
      <c r="AL238" s="16">
        <v>0</v>
      </c>
      <c r="AM238" s="14">
        <v>0</v>
      </c>
      <c r="AN238" s="16">
        <v>0</v>
      </c>
      <c r="AO238" s="14">
        <v>0</v>
      </c>
      <c r="AP238" s="14">
        <v>0</v>
      </c>
      <c r="AQ238" s="14">
        <v>0</v>
      </c>
      <c r="AR238" s="14">
        <v>0</v>
      </c>
      <c r="AS238" s="14">
        <v>0</v>
      </c>
      <c r="AT238" s="16">
        <v>0</v>
      </c>
      <c r="AU238" s="14">
        <v>0</v>
      </c>
      <c r="AV238" s="14">
        <v>0</v>
      </c>
      <c r="AW238" s="14">
        <v>0</v>
      </c>
      <c r="AX238" s="16">
        <v>4</v>
      </c>
      <c r="AY238" s="14">
        <f>25+98+38+42</f>
        <v>203</v>
      </c>
      <c r="AZ238" s="15">
        <f>984+784+380+420</f>
        <v>2568</v>
      </c>
      <c r="BA238" s="16">
        <v>2</v>
      </c>
      <c r="BB238" s="14">
        <v>0</v>
      </c>
      <c r="BC238" s="14">
        <v>1</v>
      </c>
      <c r="BD238" s="14">
        <v>0</v>
      </c>
      <c r="BE238" s="14">
        <v>2</v>
      </c>
      <c r="BF238" s="14">
        <v>0</v>
      </c>
      <c r="BG238" s="14">
        <v>0</v>
      </c>
      <c r="BH238" s="14">
        <v>1</v>
      </c>
      <c r="BI238" s="14">
        <v>4</v>
      </c>
      <c r="BJ238" s="14">
        <v>3</v>
      </c>
      <c r="BK238" s="14">
        <v>2</v>
      </c>
      <c r="BL238" s="14">
        <v>1</v>
      </c>
      <c r="BM238" s="17">
        <v>0</v>
      </c>
      <c r="BN238" s="18">
        <v>0</v>
      </c>
      <c r="BO238" s="8" t="s">
        <v>55</v>
      </c>
    </row>
    <row r="239" spans="1:67" ht="15.75">
      <c r="A239" s="8" t="s">
        <v>302</v>
      </c>
      <c r="B239" s="16">
        <v>0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6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0</v>
      </c>
      <c r="AK239" s="15">
        <v>0</v>
      </c>
      <c r="AL239" s="16">
        <v>0</v>
      </c>
      <c r="AM239" s="14">
        <v>0</v>
      </c>
      <c r="AN239" s="16">
        <v>0</v>
      </c>
      <c r="AO239" s="14">
        <v>0</v>
      </c>
      <c r="AP239" s="14">
        <v>0</v>
      </c>
      <c r="AQ239" s="14">
        <v>0</v>
      </c>
      <c r="AR239" s="14">
        <v>0</v>
      </c>
      <c r="AS239" s="14">
        <v>0</v>
      </c>
      <c r="AT239" s="16">
        <v>0</v>
      </c>
      <c r="AU239" s="14">
        <v>0</v>
      </c>
      <c r="AV239" s="14">
        <v>0</v>
      </c>
      <c r="AW239" s="14">
        <v>0</v>
      </c>
      <c r="AX239" s="16">
        <v>1</v>
      </c>
      <c r="AY239" s="14">
        <v>96</v>
      </c>
      <c r="AZ239" s="15">
        <v>528</v>
      </c>
      <c r="BA239" s="16">
        <v>0</v>
      </c>
      <c r="BB239" s="14">
        <v>0</v>
      </c>
      <c r="BC239" s="14">
        <v>0</v>
      </c>
      <c r="BD239" s="14">
        <v>0</v>
      </c>
      <c r="BE239" s="14">
        <v>0</v>
      </c>
      <c r="BF239" s="14">
        <v>0</v>
      </c>
      <c r="BG239" s="14">
        <v>0</v>
      </c>
      <c r="BH239" s="14">
        <v>0</v>
      </c>
      <c r="BI239" s="14">
        <v>1</v>
      </c>
      <c r="BJ239" s="14">
        <v>1</v>
      </c>
      <c r="BK239" s="14">
        <v>0</v>
      </c>
      <c r="BL239" s="14">
        <v>0</v>
      </c>
      <c r="BM239" s="17">
        <v>0</v>
      </c>
      <c r="BN239" s="18">
        <v>0</v>
      </c>
      <c r="BO239" s="8" t="s">
        <v>55</v>
      </c>
    </row>
    <row r="240" spans="1:67" ht="15.75">
      <c r="A240" s="8" t="s">
        <v>303</v>
      </c>
      <c r="B240" s="16">
        <v>0</v>
      </c>
      <c r="C240" s="14">
        <v>0</v>
      </c>
      <c r="D240" s="14">
        <v>1</v>
      </c>
      <c r="E240" s="14">
        <v>15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6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 t="s">
        <v>117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0</v>
      </c>
      <c r="AJ240" s="14">
        <v>0</v>
      </c>
      <c r="AK240" s="15">
        <v>0</v>
      </c>
      <c r="AL240" s="16">
        <v>0</v>
      </c>
      <c r="AM240" s="14">
        <v>0</v>
      </c>
      <c r="AN240" s="16">
        <v>0</v>
      </c>
      <c r="AO240" s="14">
        <v>0</v>
      </c>
      <c r="AP240" s="14">
        <v>0</v>
      </c>
      <c r="AQ240" s="14">
        <v>0</v>
      </c>
      <c r="AR240" s="14">
        <v>0</v>
      </c>
      <c r="AS240" s="14">
        <v>0</v>
      </c>
      <c r="AT240" s="16">
        <v>0</v>
      </c>
      <c r="AU240" s="14">
        <v>0</v>
      </c>
      <c r="AV240" s="14">
        <v>0</v>
      </c>
      <c r="AW240" s="14">
        <v>0</v>
      </c>
      <c r="AX240" s="16">
        <v>2</v>
      </c>
      <c r="AY240" s="14">
        <f>195+50</f>
        <v>245</v>
      </c>
      <c r="AZ240" s="15">
        <f>2060+100</f>
        <v>2160</v>
      </c>
      <c r="BA240" s="16">
        <v>1</v>
      </c>
      <c r="BB240" s="14">
        <v>0</v>
      </c>
      <c r="BC240" s="14">
        <v>1</v>
      </c>
      <c r="BD240" s="14">
        <v>0</v>
      </c>
      <c r="BE240" s="14">
        <v>0</v>
      </c>
      <c r="BF240" s="14">
        <v>0</v>
      </c>
      <c r="BG240" s="14">
        <v>1</v>
      </c>
      <c r="BH240" s="14">
        <v>0</v>
      </c>
      <c r="BI240" s="14">
        <v>1</v>
      </c>
      <c r="BJ240" s="14">
        <v>2</v>
      </c>
      <c r="BK240" s="14">
        <v>0</v>
      </c>
      <c r="BL240" s="14">
        <v>0</v>
      </c>
      <c r="BM240" s="17">
        <v>0</v>
      </c>
      <c r="BN240" s="18">
        <v>0</v>
      </c>
      <c r="BO240" s="8" t="s">
        <v>55</v>
      </c>
    </row>
    <row r="241" spans="1:67" ht="15.75">
      <c r="A241" s="8" t="s">
        <v>55</v>
      </c>
      <c r="B241" s="16">
        <v>1</v>
      </c>
      <c r="C241" s="14" t="s">
        <v>115</v>
      </c>
      <c r="D241" s="14">
        <v>1</v>
      </c>
      <c r="E241" s="14" t="s">
        <v>115</v>
      </c>
      <c r="F241" s="14">
        <v>0</v>
      </c>
      <c r="G241" s="14">
        <v>0</v>
      </c>
      <c r="H241" s="14">
        <v>4</v>
      </c>
      <c r="I241" s="14" t="s">
        <v>115</v>
      </c>
      <c r="J241" s="14">
        <v>1</v>
      </c>
      <c r="K241" s="14" t="s">
        <v>115</v>
      </c>
      <c r="L241" s="14">
        <v>0</v>
      </c>
      <c r="M241" s="14">
        <v>0</v>
      </c>
      <c r="N241" s="14">
        <v>1</v>
      </c>
      <c r="O241" s="14" t="s">
        <v>115</v>
      </c>
      <c r="P241" s="14">
        <v>1</v>
      </c>
      <c r="Q241" s="14" t="s">
        <v>115</v>
      </c>
      <c r="R241" s="16">
        <v>4</v>
      </c>
      <c r="S241" s="14">
        <v>17000</v>
      </c>
      <c r="T241" s="14" t="s">
        <v>115</v>
      </c>
      <c r="U241" s="14">
        <v>45000</v>
      </c>
      <c r="V241" s="14" t="s">
        <v>117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0</v>
      </c>
      <c r="AK241" s="15">
        <v>0</v>
      </c>
      <c r="AL241" s="16">
        <v>0</v>
      </c>
      <c r="AM241" s="14">
        <v>0</v>
      </c>
      <c r="AN241" s="16">
        <v>0</v>
      </c>
      <c r="AO241" s="14">
        <v>0</v>
      </c>
      <c r="AP241" s="14">
        <v>0</v>
      </c>
      <c r="AQ241" s="14">
        <v>8</v>
      </c>
      <c r="AR241" s="14">
        <v>3</v>
      </c>
      <c r="AS241" s="14">
        <v>0</v>
      </c>
      <c r="AT241" s="16">
        <v>3</v>
      </c>
      <c r="AU241" s="14">
        <v>0</v>
      </c>
      <c r="AV241" s="14">
        <v>8</v>
      </c>
      <c r="AW241" s="14">
        <v>0</v>
      </c>
      <c r="AX241" s="16">
        <v>14</v>
      </c>
      <c r="AY241" s="14">
        <f>90+50+110+140+140+120+135+280+130+150+210+40+130+500</f>
        <v>2225</v>
      </c>
      <c r="AZ241" s="15">
        <f>270+250+330+2100+2100+1800+2000+4200+4800+600+6500+6500+2500</f>
        <v>33950</v>
      </c>
      <c r="BA241" s="16">
        <v>11</v>
      </c>
      <c r="BB241" s="14">
        <v>2</v>
      </c>
      <c r="BC241" s="14">
        <v>2</v>
      </c>
      <c r="BD241" s="14">
        <v>3</v>
      </c>
      <c r="BE241" s="14">
        <v>3</v>
      </c>
      <c r="BF241" s="14">
        <v>1</v>
      </c>
      <c r="BG241" s="14">
        <v>6</v>
      </c>
      <c r="BH241" s="14">
        <v>3</v>
      </c>
      <c r="BI241" s="14">
        <v>2</v>
      </c>
      <c r="BJ241" s="14">
        <v>4</v>
      </c>
      <c r="BK241" s="14">
        <v>6</v>
      </c>
      <c r="BL241" s="14">
        <v>7</v>
      </c>
      <c r="BM241" s="17">
        <v>0</v>
      </c>
      <c r="BN241" s="18">
        <v>0</v>
      </c>
      <c r="BO241" s="8" t="s">
        <v>55</v>
      </c>
    </row>
    <row r="242" spans="1:67" ht="15.75">
      <c r="A242" s="8" t="s">
        <v>56</v>
      </c>
      <c r="B242" s="16">
        <v>2</v>
      </c>
      <c r="C242" s="14">
        <v>900</v>
      </c>
      <c r="D242" s="14">
        <v>2</v>
      </c>
      <c r="E242" s="14">
        <v>7750</v>
      </c>
      <c r="F242" s="14">
        <v>1</v>
      </c>
      <c r="G242" s="14">
        <v>50</v>
      </c>
      <c r="H242" s="14">
        <v>5</v>
      </c>
      <c r="I242" s="14">
        <v>500</v>
      </c>
      <c r="J242" s="14">
        <v>0</v>
      </c>
      <c r="K242" s="14">
        <v>0</v>
      </c>
      <c r="L242" s="14">
        <v>0</v>
      </c>
      <c r="M242" s="14">
        <v>0</v>
      </c>
      <c r="N242" s="14">
        <v>2</v>
      </c>
      <c r="O242" s="14">
        <v>860</v>
      </c>
      <c r="P242" s="14">
        <v>2</v>
      </c>
      <c r="Q242" s="14">
        <v>1400</v>
      </c>
      <c r="R242" s="16">
        <v>6</v>
      </c>
      <c r="S242" s="14">
        <v>73000</v>
      </c>
      <c r="T242" s="14">
        <v>1</v>
      </c>
      <c r="U242" s="14">
        <v>9000</v>
      </c>
      <c r="V242" s="14" t="s">
        <v>117</v>
      </c>
      <c r="W242" s="14">
        <v>27</v>
      </c>
      <c r="X242" s="14">
        <v>9000</v>
      </c>
      <c r="Y242" s="14">
        <v>0</v>
      </c>
      <c r="Z242" s="14">
        <v>31</v>
      </c>
      <c r="AA242" s="14">
        <v>25000</v>
      </c>
      <c r="AB242" s="14">
        <v>1</v>
      </c>
      <c r="AC242" s="14">
        <v>1310</v>
      </c>
      <c r="AD242" s="14">
        <v>1</v>
      </c>
      <c r="AE242" s="14">
        <v>14000</v>
      </c>
      <c r="AF242" s="14">
        <v>0</v>
      </c>
      <c r="AG242" s="14">
        <v>0</v>
      </c>
      <c r="AH242" s="14">
        <v>0</v>
      </c>
      <c r="AI242" s="14">
        <v>0</v>
      </c>
      <c r="AJ242" s="14">
        <v>2</v>
      </c>
      <c r="AK242" s="15">
        <v>38800</v>
      </c>
      <c r="AL242" s="16">
        <v>0</v>
      </c>
      <c r="AM242" s="14">
        <v>0</v>
      </c>
      <c r="AN242" s="16">
        <v>2</v>
      </c>
      <c r="AO242" s="14">
        <v>0</v>
      </c>
      <c r="AP242" s="14">
        <v>0</v>
      </c>
      <c r="AQ242" s="14">
        <v>16</v>
      </c>
      <c r="AR242" s="14">
        <v>5</v>
      </c>
      <c r="AS242" s="14">
        <v>12</v>
      </c>
      <c r="AT242" s="16">
        <v>5</v>
      </c>
      <c r="AU242" s="14">
        <v>1</v>
      </c>
      <c r="AV242" s="14">
        <v>16</v>
      </c>
      <c r="AW242" s="14">
        <v>0</v>
      </c>
      <c r="AX242" s="16">
        <v>12</v>
      </c>
      <c r="AY242" s="14">
        <f>415.5+400.5+192.7+259.1+322.2+83.9+313.7+319+83.9+304+377.6+293</f>
        <v>3365.1000000000004</v>
      </c>
      <c r="AZ242" s="15">
        <f>11750+10500+6200+5600+6900+2400+6400+8450+2100+5450+7750+6650</f>
        <v>80150</v>
      </c>
      <c r="BA242" s="16">
        <v>10</v>
      </c>
      <c r="BB242" s="14">
        <v>2</v>
      </c>
      <c r="BC242" s="14">
        <v>8</v>
      </c>
      <c r="BD242" s="14">
        <v>2</v>
      </c>
      <c r="BE242" s="14">
        <v>1</v>
      </c>
      <c r="BF242" s="14">
        <v>1</v>
      </c>
      <c r="BG242" s="14">
        <v>9</v>
      </c>
      <c r="BH242" s="14">
        <v>1</v>
      </c>
      <c r="BI242" s="14">
        <v>1</v>
      </c>
      <c r="BJ242" s="14">
        <v>0</v>
      </c>
      <c r="BK242" s="14">
        <v>0</v>
      </c>
      <c r="BL242" s="14">
        <v>5</v>
      </c>
      <c r="BM242" s="17">
        <v>1</v>
      </c>
      <c r="BN242" s="18">
        <v>11</v>
      </c>
      <c r="BO242" s="8" t="s">
        <v>56</v>
      </c>
    </row>
    <row r="243" spans="1:67" ht="15.75">
      <c r="A243" s="8" t="s">
        <v>304</v>
      </c>
      <c r="B243" s="16">
        <v>0</v>
      </c>
      <c r="C243" s="14">
        <v>0</v>
      </c>
      <c r="D243" s="14">
        <v>1</v>
      </c>
      <c r="E243" s="14">
        <v>8400</v>
      </c>
      <c r="F243" s="14">
        <v>0</v>
      </c>
      <c r="G243" s="14">
        <v>0</v>
      </c>
      <c r="H243" s="14">
        <v>1</v>
      </c>
      <c r="I243" s="14">
        <v>30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6">
        <v>2</v>
      </c>
      <c r="S243" s="14">
        <v>63000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0</v>
      </c>
      <c r="AJ243" s="14">
        <v>0</v>
      </c>
      <c r="AK243" s="15">
        <v>0</v>
      </c>
      <c r="AL243" s="16">
        <v>0</v>
      </c>
      <c r="AM243" s="14">
        <v>0</v>
      </c>
      <c r="AN243" s="16">
        <v>0</v>
      </c>
      <c r="AO243" s="14">
        <v>0</v>
      </c>
      <c r="AP243" s="14">
        <v>0</v>
      </c>
      <c r="AQ243" s="14">
        <v>5</v>
      </c>
      <c r="AR243" s="14">
        <v>0</v>
      </c>
      <c r="AS243" s="14">
        <v>1</v>
      </c>
      <c r="AT243" s="16">
        <v>4</v>
      </c>
      <c r="AU243" s="14">
        <v>0</v>
      </c>
      <c r="AV243" s="14">
        <v>5</v>
      </c>
      <c r="AW243" s="14">
        <v>0</v>
      </c>
      <c r="AX243" s="16">
        <v>3</v>
      </c>
      <c r="AY243" s="14">
        <f>432.3+471.5+456.7</f>
        <v>1360.5</v>
      </c>
      <c r="AZ243" s="15">
        <f>18100+22400+59400</f>
        <v>99900</v>
      </c>
      <c r="BA243" s="16">
        <v>1</v>
      </c>
      <c r="BB243" s="14">
        <v>0</v>
      </c>
      <c r="BC243" s="14">
        <v>0</v>
      </c>
      <c r="BD243" s="14">
        <v>1</v>
      </c>
      <c r="BE243" s="14">
        <v>1</v>
      </c>
      <c r="BF243" s="14">
        <v>1</v>
      </c>
      <c r="BG243" s="14">
        <v>2</v>
      </c>
      <c r="BH243" s="14">
        <v>2</v>
      </c>
      <c r="BI243" s="14">
        <v>1</v>
      </c>
      <c r="BJ243" s="14">
        <v>0</v>
      </c>
      <c r="BK243" s="14">
        <v>1</v>
      </c>
      <c r="BL243" s="14">
        <v>2</v>
      </c>
      <c r="BM243" s="17">
        <v>0</v>
      </c>
      <c r="BN243" s="18">
        <v>0</v>
      </c>
      <c r="BO243" s="8" t="s">
        <v>56</v>
      </c>
    </row>
    <row r="244" spans="1:67" ht="15.75">
      <c r="A244" s="8" t="s">
        <v>305</v>
      </c>
      <c r="B244" s="16">
        <v>0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6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0</v>
      </c>
      <c r="AK244" s="15">
        <v>0</v>
      </c>
      <c r="AL244" s="16">
        <v>0</v>
      </c>
      <c r="AM244" s="14">
        <v>0</v>
      </c>
      <c r="AN244" s="16">
        <v>0</v>
      </c>
      <c r="AO244" s="14">
        <v>0</v>
      </c>
      <c r="AP244" s="14">
        <v>0</v>
      </c>
      <c r="AQ244" s="14">
        <v>0</v>
      </c>
      <c r="AR244" s="14">
        <v>0</v>
      </c>
      <c r="AS244" s="14">
        <v>0</v>
      </c>
      <c r="AT244" s="16">
        <v>0</v>
      </c>
      <c r="AU244" s="14">
        <v>0</v>
      </c>
      <c r="AV244" s="14">
        <v>0</v>
      </c>
      <c r="AW244" s="14">
        <v>0</v>
      </c>
      <c r="AX244" s="16">
        <v>1</v>
      </c>
      <c r="AY244" s="14">
        <v>120</v>
      </c>
      <c r="AZ244" s="15">
        <v>1440</v>
      </c>
      <c r="BA244" s="16">
        <v>1</v>
      </c>
      <c r="BB244" s="14">
        <v>0</v>
      </c>
      <c r="BC244" s="14">
        <v>0</v>
      </c>
      <c r="BD244" s="14">
        <v>0</v>
      </c>
      <c r="BE244" s="14">
        <v>0</v>
      </c>
      <c r="BF244" s="14">
        <v>0</v>
      </c>
      <c r="BG244" s="14">
        <v>0</v>
      </c>
      <c r="BH244" s="14">
        <v>0</v>
      </c>
      <c r="BI244" s="14">
        <v>1</v>
      </c>
      <c r="BJ244" s="14">
        <v>1</v>
      </c>
      <c r="BK244" s="14">
        <v>0</v>
      </c>
      <c r="BL244" s="14">
        <v>0</v>
      </c>
      <c r="BM244" s="17">
        <v>0</v>
      </c>
      <c r="BN244" s="18">
        <v>0</v>
      </c>
      <c r="BO244" s="8" t="s">
        <v>57</v>
      </c>
    </row>
    <row r="245" spans="1:67" ht="15.75">
      <c r="A245" s="8" t="s">
        <v>306</v>
      </c>
      <c r="B245" s="16">
        <v>0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6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0</v>
      </c>
      <c r="AJ245" s="14">
        <v>0</v>
      </c>
      <c r="AK245" s="15">
        <v>0</v>
      </c>
      <c r="AL245" s="16">
        <v>0</v>
      </c>
      <c r="AM245" s="14">
        <v>0</v>
      </c>
      <c r="AN245" s="16">
        <v>0</v>
      </c>
      <c r="AO245" s="14">
        <v>0</v>
      </c>
      <c r="AP245" s="14">
        <v>0</v>
      </c>
      <c r="AQ245" s="14">
        <v>0</v>
      </c>
      <c r="AR245" s="14">
        <v>0</v>
      </c>
      <c r="AS245" s="14">
        <v>0</v>
      </c>
      <c r="AT245" s="16">
        <v>0</v>
      </c>
      <c r="AU245" s="14">
        <v>0</v>
      </c>
      <c r="AV245" s="14">
        <v>0</v>
      </c>
      <c r="AW245" s="14">
        <v>0</v>
      </c>
      <c r="AX245" s="16">
        <v>18</v>
      </c>
      <c r="AY245" s="14">
        <f>926+76.5+187+80+60+60+403+97.5+50+60+80+170+24+26+40+40+55</f>
        <v>2435</v>
      </c>
      <c r="AZ245" s="15">
        <v>0</v>
      </c>
      <c r="BA245" s="16">
        <v>13</v>
      </c>
      <c r="BB245" s="14">
        <v>1</v>
      </c>
      <c r="BC245" s="14">
        <v>8</v>
      </c>
      <c r="BD245" s="14">
        <v>2</v>
      </c>
      <c r="BE245" s="14">
        <v>8</v>
      </c>
      <c r="BF245" s="14">
        <v>0</v>
      </c>
      <c r="BG245" s="14">
        <v>8</v>
      </c>
      <c r="BH245" s="14">
        <v>0</v>
      </c>
      <c r="BI245" s="14">
        <v>9</v>
      </c>
      <c r="BJ245" s="14">
        <v>11</v>
      </c>
      <c r="BK245" s="14">
        <v>10</v>
      </c>
      <c r="BL245" s="14">
        <v>1</v>
      </c>
      <c r="BM245" s="17">
        <v>0</v>
      </c>
      <c r="BN245" s="18">
        <v>0</v>
      </c>
      <c r="BO245" s="8" t="s">
        <v>57</v>
      </c>
    </row>
    <row r="246" spans="1:67" ht="15.75">
      <c r="A246" s="8" t="s">
        <v>307</v>
      </c>
      <c r="B246" s="16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6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0</v>
      </c>
      <c r="AK246" s="15">
        <v>0</v>
      </c>
      <c r="AL246" s="16">
        <v>0</v>
      </c>
      <c r="AM246" s="14">
        <v>0</v>
      </c>
      <c r="AN246" s="16">
        <v>0</v>
      </c>
      <c r="AO246" s="14">
        <v>0</v>
      </c>
      <c r="AP246" s="14">
        <v>0</v>
      </c>
      <c r="AQ246" s="14">
        <v>0</v>
      </c>
      <c r="AR246" s="14">
        <v>0</v>
      </c>
      <c r="AS246" s="14">
        <v>0</v>
      </c>
      <c r="AT246" s="16">
        <v>0</v>
      </c>
      <c r="AU246" s="14">
        <v>0</v>
      </c>
      <c r="AV246" s="14">
        <v>0</v>
      </c>
      <c r="AW246" s="14">
        <v>0</v>
      </c>
      <c r="AX246" s="16">
        <v>1</v>
      </c>
      <c r="AY246" s="14">
        <v>3882.7</v>
      </c>
      <c r="AZ246" s="15">
        <v>0</v>
      </c>
      <c r="BA246" s="16">
        <v>0</v>
      </c>
      <c r="BB246" s="14">
        <v>0</v>
      </c>
      <c r="BC246" s="14">
        <v>0</v>
      </c>
      <c r="BD246" s="14">
        <v>0</v>
      </c>
      <c r="BE246" s="14">
        <v>0</v>
      </c>
      <c r="BF246" s="14">
        <v>0</v>
      </c>
      <c r="BG246" s="14">
        <v>0</v>
      </c>
      <c r="BH246" s="14">
        <v>0</v>
      </c>
      <c r="BI246" s="14">
        <v>1</v>
      </c>
      <c r="BJ246" s="14">
        <v>1</v>
      </c>
      <c r="BK246" s="14">
        <v>0</v>
      </c>
      <c r="BL246" s="14">
        <v>0</v>
      </c>
      <c r="BM246" s="17">
        <v>0</v>
      </c>
      <c r="BN246" s="18">
        <v>0</v>
      </c>
      <c r="BO246" s="8" t="s">
        <v>57</v>
      </c>
    </row>
    <row r="247" spans="1:67" ht="15.75">
      <c r="A247" s="8" t="s">
        <v>57</v>
      </c>
      <c r="B247" s="16">
        <v>1</v>
      </c>
      <c r="C247" s="14">
        <v>130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6">
        <v>2</v>
      </c>
      <c r="S247" s="14">
        <v>31400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5">
        <v>0</v>
      </c>
      <c r="AL247" s="16">
        <v>0</v>
      </c>
      <c r="AM247" s="14">
        <v>0</v>
      </c>
      <c r="AN247" s="16">
        <v>0</v>
      </c>
      <c r="AO247" s="14">
        <v>0</v>
      </c>
      <c r="AP247" s="14">
        <v>0</v>
      </c>
      <c r="AQ247" s="14">
        <v>0</v>
      </c>
      <c r="AR247" s="14">
        <v>0</v>
      </c>
      <c r="AS247" s="14">
        <v>0</v>
      </c>
      <c r="AT247" s="16">
        <v>5</v>
      </c>
      <c r="AU247" s="14">
        <v>0</v>
      </c>
      <c r="AV247" s="14">
        <v>0</v>
      </c>
      <c r="AW247" s="14">
        <v>0</v>
      </c>
      <c r="AX247" s="16">
        <v>6</v>
      </c>
      <c r="AY247" s="14">
        <f>550+56+48+210+340+430</f>
        <v>1634</v>
      </c>
      <c r="AZ247" s="15">
        <f>26000+2*380+10000+14000+5400</f>
        <v>56160</v>
      </c>
      <c r="BA247" s="16">
        <v>4</v>
      </c>
      <c r="BB247" s="14">
        <v>0</v>
      </c>
      <c r="BC247" s="14">
        <v>0</v>
      </c>
      <c r="BD247" s="14">
        <v>0</v>
      </c>
      <c r="BE247" s="14">
        <v>0</v>
      </c>
      <c r="BF247" s="14">
        <v>0</v>
      </c>
      <c r="BG247" s="14">
        <v>4</v>
      </c>
      <c r="BH247" s="14">
        <v>2</v>
      </c>
      <c r="BI247" s="14">
        <v>0</v>
      </c>
      <c r="BJ247" s="14">
        <v>1</v>
      </c>
      <c r="BK247" s="14">
        <v>1</v>
      </c>
      <c r="BL247" s="14">
        <v>1</v>
      </c>
      <c r="BM247" s="17">
        <v>0</v>
      </c>
      <c r="BN247" s="18">
        <v>6</v>
      </c>
      <c r="BO247" s="8" t="s">
        <v>57</v>
      </c>
    </row>
    <row r="248" spans="1:67" ht="15.75">
      <c r="A248" s="8" t="s">
        <v>308</v>
      </c>
      <c r="B248" s="16">
        <v>0</v>
      </c>
      <c r="C248" s="14">
        <v>0</v>
      </c>
      <c r="D248" s="14">
        <v>1</v>
      </c>
      <c r="E248" s="14">
        <v>100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6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0</v>
      </c>
      <c r="AJ248" s="14">
        <v>0</v>
      </c>
      <c r="AK248" s="15">
        <v>0</v>
      </c>
      <c r="AL248" s="16">
        <v>0</v>
      </c>
      <c r="AM248" s="14">
        <v>0</v>
      </c>
      <c r="AN248" s="16">
        <v>0</v>
      </c>
      <c r="AO248" s="14">
        <v>0</v>
      </c>
      <c r="AP248" s="14">
        <v>0</v>
      </c>
      <c r="AQ248" s="14">
        <v>0</v>
      </c>
      <c r="AR248" s="14">
        <v>0</v>
      </c>
      <c r="AS248" s="14">
        <v>0</v>
      </c>
      <c r="AT248" s="16">
        <v>0</v>
      </c>
      <c r="AU248" s="14">
        <v>0</v>
      </c>
      <c r="AV248" s="14">
        <v>0</v>
      </c>
      <c r="AW248" s="14">
        <v>0</v>
      </c>
      <c r="AX248" s="16">
        <v>1</v>
      </c>
      <c r="AY248" s="14">
        <v>20</v>
      </c>
      <c r="AZ248" s="15">
        <v>0</v>
      </c>
      <c r="BA248" s="16">
        <v>0</v>
      </c>
      <c r="BB248" s="14">
        <v>1</v>
      </c>
      <c r="BC248" s="14">
        <v>0</v>
      </c>
      <c r="BD248" s="14">
        <v>0</v>
      </c>
      <c r="BE248" s="14">
        <v>0</v>
      </c>
      <c r="BF248" s="14">
        <v>0</v>
      </c>
      <c r="BG248" s="14">
        <v>0</v>
      </c>
      <c r="BH248" s="14">
        <v>0</v>
      </c>
      <c r="BI248" s="14">
        <v>1</v>
      </c>
      <c r="BJ248" s="14">
        <v>0</v>
      </c>
      <c r="BK248" s="14">
        <v>1</v>
      </c>
      <c r="BL248" s="14">
        <v>0</v>
      </c>
      <c r="BM248" s="17">
        <v>0</v>
      </c>
      <c r="BN248" s="18">
        <v>0</v>
      </c>
      <c r="BO248" s="8" t="s">
        <v>57</v>
      </c>
    </row>
    <row r="249" spans="1:67" ht="15.75">
      <c r="A249" s="8" t="s">
        <v>309</v>
      </c>
      <c r="B249" s="16">
        <v>0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6">
        <v>1</v>
      </c>
      <c r="S249" s="14">
        <v>20000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0</v>
      </c>
      <c r="AJ249" s="14">
        <v>0</v>
      </c>
      <c r="AK249" s="15">
        <v>0</v>
      </c>
      <c r="AL249" s="16">
        <v>0</v>
      </c>
      <c r="AM249" s="14">
        <v>0</v>
      </c>
      <c r="AN249" s="16">
        <v>0</v>
      </c>
      <c r="AO249" s="14">
        <v>0</v>
      </c>
      <c r="AP249" s="14">
        <v>0</v>
      </c>
      <c r="AQ249" s="14">
        <v>0</v>
      </c>
      <c r="AR249" s="14">
        <v>0</v>
      </c>
      <c r="AS249" s="14">
        <v>0</v>
      </c>
      <c r="AT249" s="16">
        <v>1</v>
      </c>
      <c r="AU249" s="14">
        <v>0</v>
      </c>
      <c r="AV249" s="14">
        <v>0</v>
      </c>
      <c r="AW249" s="14">
        <v>0</v>
      </c>
      <c r="AX249" s="16">
        <v>1</v>
      </c>
      <c r="AY249" s="14">
        <v>1040</v>
      </c>
      <c r="AZ249" s="15">
        <v>0</v>
      </c>
      <c r="BA249" s="16">
        <v>1</v>
      </c>
      <c r="BB249" s="14">
        <v>0</v>
      </c>
      <c r="BC249" s="14">
        <v>0</v>
      </c>
      <c r="BD249" s="14">
        <v>0</v>
      </c>
      <c r="BE249" s="14">
        <v>0</v>
      </c>
      <c r="BF249" s="14">
        <v>0</v>
      </c>
      <c r="BG249" s="14">
        <v>0</v>
      </c>
      <c r="BH249" s="14">
        <v>0</v>
      </c>
      <c r="BI249" s="14">
        <v>1</v>
      </c>
      <c r="BJ249" s="14">
        <v>1</v>
      </c>
      <c r="BK249" s="14">
        <v>1</v>
      </c>
      <c r="BL249" s="14">
        <v>1</v>
      </c>
      <c r="BM249" s="17">
        <v>0</v>
      </c>
      <c r="BN249" s="18">
        <v>0</v>
      </c>
      <c r="BO249" s="8" t="s">
        <v>57</v>
      </c>
    </row>
    <row r="250" spans="1:67" s="3" customFormat="1" ht="15.75">
      <c r="A250" s="9" t="s">
        <v>4</v>
      </c>
      <c r="B250" s="19">
        <f>SUM(B6:B249)</f>
        <v>46</v>
      </c>
      <c r="C250" s="19">
        <f aca="true" t="shared" si="0" ref="C250:BN250">SUM(C6:C249)</f>
        <v>83981.76</v>
      </c>
      <c r="D250" s="19">
        <f t="shared" si="0"/>
        <v>88</v>
      </c>
      <c r="E250" s="19">
        <f t="shared" si="0"/>
        <v>731785</v>
      </c>
      <c r="F250" s="19">
        <f t="shared" si="0"/>
        <v>17</v>
      </c>
      <c r="G250" s="19">
        <f t="shared" si="0"/>
        <v>1571</v>
      </c>
      <c r="H250" s="19">
        <f t="shared" si="0"/>
        <v>98</v>
      </c>
      <c r="I250" s="19">
        <f t="shared" si="0"/>
        <v>6020.6</v>
      </c>
      <c r="J250" s="19">
        <f t="shared" si="0"/>
        <v>29</v>
      </c>
      <c r="K250" s="19">
        <f t="shared" si="0"/>
        <v>25140</v>
      </c>
      <c r="L250" s="19">
        <f t="shared" si="0"/>
        <v>1</v>
      </c>
      <c r="M250" s="19">
        <f t="shared" si="0"/>
        <v>90</v>
      </c>
      <c r="N250" s="19">
        <f t="shared" si="0"/>
        <v>61</v>
      </c>
      <c r="O250" s="19">
        <f t="shared" si="0"/>
        <v>28298</v>
      </c>
      <c r="P250" s="19">
        <f t="shared" si="0"/>
        <v>429</v>
      </c>
      <c r="Q250" s="19">
        <f t="shared" si="0"/>
        <v>39170</v>
      </c>
      <c r="R250" s="19">
        <f t="shared" si="0"/>
        <v>202</v>
      </c>
      <c r="S250" s="19">
        <f t="shared" si="0"/>
        <v>11034011.84</v>
      </c>
      <c r="T250" s="19">
        <f t="shared" si="0"/>
        <v>684</v>
      </c>
      <c r="U250" s="19">
        <f t="shared" si="0"/>
        <v>7161579</v>
      </c>
      <c r="V250" s="19"/>
      <c r="W250" s="19">
        <f t="shared" si="0"/>
        <v>248</v>
      </c>
      <c r="X250" s="19">
        <f t="shared" si="0"/>
        <v>328960</v>
      </c>
      <c r="Y250" s="19"/>
      <c r="Z250" s="19">
        <f t="shared" si="0"/>
        <v>140</v>
      </c>
      <c r="AA250" s="19">
        <f t="shared" si="0"/>
        <v>1066631.886</v>
      </c>
      <c r="AB250" s="19">
        <f t="shared" si="0"/>
        <v>30</v>
      </c>
      <c r="AC250" s="19">
        <f t="shared" si="0"/>
        <v>361407</v>
      </c>
      <c r="AD250" s="19">
        <f t="shared" si="0"/>
        <v>27</v>
      </c>
      <c r="AE250" s="19">
        <f t="shared" si="0"/>
        <v>757170</v>
      </c>
      <c r="AF250" s="19">
        <f t="shared" si="0"/>
        <v>122</v>
      </c>
      <c r="AG250" s="19">
        <f t="shared" si="0"/>
        <v>260717</v>
      </c>
      <c r="AH250" s="19">
        <f t="shared" si="0"/>
        <v>1</v>
      </c>
      <c r="AI250" s="19">
        <f t="shared" si="0"/>
        <v>11587</v>
      </c>
      <c r="AJ250" s="19">
        <f t="shared" si="0"/>
        <v>107</v>
      </c>
      <c r="AK250" s="19">
        <f t="shared" si="0"/>
        <v>6108140</v>
      </c>
      <c r="AL250" s="19">
        <f t="shared" si="0"/>
        <v>43</v>
      </c>
      <c r="AM250" s="19">
        <f t="shared" si="0"/>
        <v>199961.18</v>
      </c>
      <c r="AN250" s="19">
        <f t="shared" si="0"/>
        <v>80</v>
      </c>
      <c r="AO250" s="19">
        <f t="shared" si="0"/>
        <v>83</v>
      </c>
      <c r="AP250" s="19">
        <f t="shared" si="0"/>
        <v>42</v>
      </c>
      <c r="AQ250" s="19">
        <f t="shared" si="0"/>
        <v>438</v>
      </c>
      <c r="AR250" s="19">
        <f t="shared" si="0"/>
        <v>192</v>
      </c>
      <c r="AS250" s="19">
        <f t="shared" si="0"/>
        <v>50</v>
      </c>
      <c r="AT250" s="19">
        <f t="shared" si="0"/>
        <v>401</v>
      </c>
      <c r="AU250" s="19">
        <f t="shared" si="0"/>
        <v>74</v>
      </c>
      <c r="AV250" s="19">
        <f t="shared" si="0"/>
        <v>1195</v>
      </c>
      <c r="AW250" s="19">
        <f t="shared" si="0"/>
        <v>981</v>
      </c>
      <c r="AX250" s="19">
        <f t="shared" si="0"/>
        <v>1677</v>
      </c>
      <c r="AY250" s="19">
        <f t="shared" si="0"/>
        <v>374790.72000000003</v>
      </c>
      <c r="AZ250" s="19">
        <f t="shared" si="0"/>
        <v>7958592.409999998</v>
      </c>
      <c r="BA250" s="19">
        <f t="shared" si="0"/>
        <v>383</v>
      </c>
      <c r="BB250" s="19">
        <f t="shared" si="0"/>
        <v>113</v>
      </c>
      <c r="BC250" s="19">
        <f t="shared" si="0"/>
        <v>103</v>
      </c>
      <c r="BD250" s="19">
        <f t="shared" si="0"/>
        <v>236</v>
      </c>
      <c r="BE250" s="19">
        <f t="shared" si="0"/>
        <v>245</v>
      </c>
      <c r="BF250" s="19">
        <f t="shared" si="0"/>
        <v>104</v>
      </c>
      <c r="BG250" s="19">
        <f t="shared" si="0"/>
        <v>275</v>
      </c>
      <c r="BH250" s="19">
        <f t="shared" si="0"/>
        <v>165</v>
      </c>
      <c r="BI250" s="19">
        <f t="shared" si="0"/>
        <v>395</v>
      </c>
      <c r="BJ250" s="19">
        <f t="shared" si="0"/>
        <v>579</v>
      </c>
      <c r="BK250" s="19">
        <f t="shared" si="0"/>
        <v>179</v>
      </c>
      <c r="BL250" s="19">
        <f t="shared" si="0"/>
        <v>145</v>
      </c>
      <c r="BM250" s="19">
        <f t="shared" si="0"/>
        <v>213</v>
      </c>
      <c r="BN250" s="19">
        <f t="shared" si="0"/>
        <v>461</v>
      </c>
      <c r="BO250" s="10"/>
    </row>
    <row r="251" spans="1:67" s="4" customFormat="1" ht="12">
      <c r="A251" s="6" t="s">
        <v>3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</row>
    <row r="252" spans="1:37" s="4" customFormat="1" ht="12">
      <c r="A252" s="5" t="s">
        <v>5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</row>
  </sheetData>
  <sheetProtection/>
  <mergeCells count="63">
    <mergeCell ref="AX2:AZ3"/>
    <mergeCell ref="AX4:AX5"/>
    <mergeCell ref="AZ4:AZ5"/>
    <mergeCell ref="AO4:AO5"/>
    <mergeCell ref="AP4:AP5"/>
    <mergeCell ref="AQ4:AQ5"/>
    <mergeCell ref="AR4:AR5"/>
    <mergeCell ref="AS4:AS5"/>
    <mergeCell ref="AT2:AW3"/>
    <mergeCell ref="AV4:AV5"/>
    <mergeCell ref="BL4:BL5"/>
    <mergeCell ref="BM4:BM5"/>
    <mergeCell ref="BN4:BN5"/>
    <mergeCell ref="AH4:AI4"/>
    <mergeCell ref="AJ4:AK4"/>
    <mergeCell ref="AW4:AW5"/>
    <mergeCell ref="AT4:AT5"/>
    <mergeCell ref="AU4:AU5"/>
    <mergeCell ref="BH4:BH5"/>
    <mergeCell ref="BI4:BI5"/>
    <mergeCell ref="BJ4:BJ5"/>
    <mergeCell ref="BK4:BK5"/>
    <mergeCell ref="BD4:BD5"/>
    <mergeCell ref="BE4:BE5"/>
    <mergeCell ref="BF4:BF5"/>
    <mergeCell ref="BG4:BG5"/>
    <mergeCell ref="P4:Q4"/>
    <mergeCell ref="BA4:BA5"/>
    <mergeCell ref="BB4:BB5"/>
    <mergeCell ref="BC4:BC5"/>
    <mergeCell ref="T4:U4"/>
    <mergeCell ref="Z4:AA4"/>
    <mergeCell ref="AF4:AG4"/>
    <mergeCell ref="AB4:AC4"/>
    <mergeCell ref="AD4:AE4"/>
    <mergeCell ref="B2:Q2"/>
    <mergeCell ref="BA2:BL3"/>
    <mergeCell ref="BM2:BN3"/>
    <mergeCell ref="B4:C4"/>
    <mergeCell ref="D4:E4"/>
    <mergeCell ref="F4:G4"/>
    <mergeCell ref="H4:I4"/>
    <mergeCell ref="J4:K4"/>
    <mergeCell ref="L4:M4"/>
    <mergeCell ref="N4:O4"/>
    <mergeCell ref="BO2:BO5"/>
    <mergeCell ref="A2:A5"/>
    <mergeCell ref="B3:I3"/>
    <mergeCell ref="J3:Q3"/>
    <mergeCell ref="AL4:AL5"/>
    <mergeCell ref="AM4:AM5"/>
    <mergeCell ref="AN4:AN5"/>
    <mergeCell ref="AY4:AY5"/>
    <mergeCell ref="AL2:AM3"/>
    <mergeCell ref="AN2:AS3"/>
    <mergeCell ref="R2:AK2"/>
    <mergeCell ref="R3:R5"/>
    <mergeCell ref="S3:S5"/>
    <mergeCell ref="T3:V3"/>
    <mergeCell ref="W3:Y3"/>
    <mergeCell ref="W4:X4"/>
    <mergeCell ref="Z3:AE3"/>
    <mergeCell ref="AF3:AK3"/>
  </mergeCells>
  <printOptions horizontalCentered="1"/>
  <pageMargins left="0.3937007874015748" right="0.3937007874015748" top="0.3937007874015748" bottom="0.3937007874015748" header="0.5118110236220472" footer="0.5118110236220472"/>
  <pageSetup fitToHeight="6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Vittozzi Nadia</cp:lastModifiedBy>
  <cp:lastPrinted>2010-04-06T10:37:11Z</cp:lastPrinted>
  <dcterms:created xsi:type="dcterms:W3CDTF">2007-03-30T13:15:11Z</dcterms:created>
  <dcterms:modified xsi:type="dcterms:W3CDTF">2015-10-02T09:03:10Z</dcterms:modified>
  <cp:category/>
  <cp:version/>
  <cp:contentType/>
  <cp:contentStatus/>
</cp:coreProperties>
</file>